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Lucia.Andrade\2025\MERENDA ESCOLAR\PER CAPTA\"/>
    </mc:Choice>
  </mc:AlternateContent>
  <xr:revisionPtr revIDLastSave="0" documentId="13_ncr:1_{91B96D3C-9531-4A11-AA06-CEE7E3BF11C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NSINO FUNDAMENTAL" sheetId="1" r:id="rId1"/>
    <sheet name="ENSINO MÉDIO E EJA" sheetId="2" r:id="rId2"/>
    <sheet name="TABELA PER CAPTA - CENUT" sheetId="3" r:id="rId3"/>
  </sheets>
  <definedNames>
    <definedName name="_xlnm.Print_Area" localSheetId="0">'ENSINO FUNDAMENTAL'!$A$1:$G$69</definedName>
    <definedName name="_xlnm.Print_Area" localSheetId="1">'ENSINO MÉDIO E EJA'!$A$1:$G$72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7" i="1" l="1"/>
  <c r="F52" i="2" l="1"/>
  <c r="C52" i="2"/>
  <c r="F51" i="2"/>
  <c r="C51" i="2"/>
  <c r="F50" i="2"/>
  <c r="C50" i="2"/>
  <c r="F60" i="2" l="1"/>
  <c r="C60" i="2"/>
  <c r="F59" i="2"/>
  <c r="C59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C57" i="1"/>
  <c r="D67" i="1" l="1"/>
  <c r="C56" i="1"/>
  <c r="D66" i="1"/>
  <c r="F56" i="1"/>
  <c r="F44" i="1"/>
  <c r="F43" i="1"/>
  <c r="F42" i="1"/>
  <c r="F41" i="1"/>
  <c r="F40" i="1"/>
  <c r="F9" i="1"/>
  <c r="F8" i="1"/>
  <c r="F7" i="1"/>
  <c r="D78" i="1"/>
  <c r="D77" i="1"/>
  <c r="D76" i="1"/>
  <c r="D75" i="1"/>
  <c r="D74" i="1"/>
  <c r="D73" i="1"/>
  <c r="D72" i="1"/>
  <c r="D71" i="1"/>
  <c r="D70" i="1"/>
  <c r="D69" i="1"/>
  <c r="D68" i="1"/>
  <c r="D63" i="1"/>
  <c r="D62" i="1"/>
  <c r="D64" i="1"/>
  <c r="C51" i="1"/>
  <c r="C50" i="1"/>
  <c r="C49" i="1"/>
  <c r="F51" i="1"/>
  <c r="F50" i="1"/>
  <c r="F49" i="1"/>
  <c r="C43" i="1"/>
  <c r="C38" i="1"/>
  <c r="F37" i="1"/>
  <c r="C37" i="1"/>
  <c r="C36" i="1"/>
  <c r="F36" i="1"/>
  <c r="F35" i="1"/>
  <c r="F6" i="2" l="1"/>
  <c r="F7" i="2"/>
  <c r="F5" i="2"/>
  <c r="F33" i="2" l="1"/>
  <c r="F25" i="2"/>
  <c r="F19" i="2"/>
  <c r="C19" i="2" s="1"/>
  <c r="F39" i="2"/>
  <c r="C39" i="2" s="1"/>
  <c r="F20" i="2"/>
  <c r="C20" i="2" s="1"/>
  <c r="C5" i="2"/>
  <c r="F38" i="1"/>
  <c r="F32" i="1"/>
  <c r="F24" i="1"/>
  <c r="F19" i="1"/>
  <c r="C19" i="1" s="1"/>
  <c r="F17" i="1"/>
  <c r="F18" i="1"/>
  <c r="C18" i="1" s="1"/>
  <c r="F11" i="1"/>
  <c r="F5" i="1"/>
  <c r="C5" i="1" s="1"/>
  <c r="C33" i="2" l="1"/>
  <c r="F28" i="1"/>
  <c r="F29" i="2" l="1"/>
  <c r="F26" i="2"/>
  <c r="F11" i="2"/>
  <c r="F25" i="1"/>
  <c r="F54" i="1" l="1"/>
  <c r="F53" i="1"/>
  <c r="F52" i="1"/>
  <c r="F48" i="1"/>
  <c r="C44" i="1"/>
  <c r="C42" i="1"/>
  <c r="C41" i="1"/>
  <c r="C40" i="1"/>
  <c r="C35" i="1"/>
  <c r="C34" i="1"/>
  <c r="F45" i="2"/>
  <c r="F44" i="2"/>
  <c r="F42" i="2"/>
  <c r="C45" i="2"/>
  <c r="C44" i="2"/>
  <c r="C42" i="2"/>
  <c r="C41" i="2"/>
  <c r="F36" i="2"/>
  <c r="F35" i="2"/>
  <c r="C36" i="2"/>
  <c r="C35" i="2"/>
  <c r="C37" i="2"/>
  <c r="F37" i="2"/>
  <c r="F38" i="2"/>
  <c r="F57" i="2"/>
  <c r="F56" i="2"/>
  <c r="F55" i="2"/>
  <c r="F54" i="2"/>
  <c r="C57" i="2"/>
  <c r="C56" i="2"/>
  <c r="C55" i="2"/>
  <c r="C54" i="2"/>
  <c r="F53" i="2"/>
  <c r="C53" i="2"/>
  <c r="F32" i="2" l="1"/>
  <c r="F31" i="2"/>
  <c r="C31" i="2" s="1"/>
  <c r="F30" i="2"/>
  <c r="F23" i="2"/>
  <c r="C48" i="2"/>
  <c r="C47" i="2"/>
  <c r="F48" i="2"/>
  <c r="F47" i="2"/>
  <c r="C28" i="2"/>
  <c r="C27" i="1"/>
  <c r="F27" i="1"/>
  <c r="F18" i="2" l="1"/>
  <c r="C18" i="2" s="1"/>
  <c r="F17" i="2"/>
  <c r="C17" i="2" s="1"/>
  <c r="F16" i="2"/>
  <c r="C16" i="2" s="1"/>
  <c r="F14" i="2"/>
  <c r="C14" i="2" s="1"/>
  <c r="F12" i="2"/>
  <c r="C12" i="2" s="1"/>
  <c r="C7" i="2"/>
  <c r="F8" i="2"/>
  <c r="C8" i="2" s="1"/>
  <c r="F9" i="2"/>
  <c r="C9" i="2" s="1"/>
  <c r="C6" i="2"/>
  <c r="C38" i="2"/>
  <c r="F41" i="2"/>
  <c r="C32" i="2"/>
  <c r="C30" i="2"/>
  <c r="C29" i="2"/>
  <c r="F28" i="2"/>
  <c r="C26" i="2"/>
  <c r="C25" i="2"/>
  <c r="F24" i="2"/>
  <c r="C24" i="2" s="1"/>
  <c r="C23" i="2"/>
  <c r="F22" i="2"/>
  <c r="C11" i="2"/>
  <c r="C11" i="1"/>
  <c r="C48" i="1"/>
  <c r="C53" i="1"/>
  <c r="C54" i="1"/>
  <c r="C52" i="1"/>
  <c r="F46" i="1"/>
  <c r="C46" i="1"/>
  <c r="F31" i="1"/>
  <c r="F30" i="1"/>
  <c r="C30" i="1" s="1"/>
  <c r="F29" i="1"/>
  <c r="C29" i="1" s="1"/>
  <c r="C28" i="1"/>
  <c r="C22" i="2" l="1"/>
  <c r="C31" i="1"/>
  <c r="C25" i="1" l="1"/>
  <c r="C24" i="1"/>
  <c r="F23" i="1"/>
  <c r="C23" i="1" s="1"/>
  <c r="F22" i="1"/>
  <c r="C22" i="1" s="1"/>
  <c r="F20" i="1"/>
  <c r="C20" i="1" s="1"/>
  <c r="C17" i="1"/>
  <c r="F16" i="1"/>
  <c r="C16" i="1" s="1"/>
  <c r="F14" i="1"/>
  <c r="C14" i="1" s="1"/>
  <c r="C8" i="1"/>
  <c r="C7" i="1"/>
  <c r="C6" i="1" l="1"/>
  <c r="D61" i="1" l="1"/>
  <c r="D65" i="1" l="1"/>
  <c r="F34" i="1"/>
  <c r="F12" i="1"/>
  <c r="C12" i="1" s="1"/>
  <c r="C9" i="1"/>
</calcChain>
</file>

<file path=xl/sharedStrings.xml><?xml version="1.0" encoding="utf-8"?>
<sst xmlns="http://schemas.openxmlformats.org/spreadsheetml/2006/main" count="361" uniqueCount="187">
  <si>
    <t>ARROZ E SIMILARES</t>
  </si>
  <si>
    <t>MOLHOS</t>
  </si>
  <si>
    <t>OUTROS PRODUTOS</t>
  </si>
  <si>
    <t>MOLHO DE TOMATE</t>
  </si>
  <si>
    <t>MARGARINA</t>
  </si>
  <si>
    <t>BOLINHO INDIVIDUAL</t>
  </si>
  <si>
    <t>CONGELADOS</t>
  </si>
  <si>
    <t>PÃO DE FORMA INTEGRAL</t>
  </si>
  <si>
    <t>BEBIDA LÁCTE UHT-SABORES</t>
  </si>
  <si>
    <t>120 g</t>
  </si>
  <si>
    <t>40 g</t>
  </si>
  <si>
    <t>3 g</t>
  </si>
  <si>
    <t>CÁLCULO PARA RETIRADA DO PRODUTO CRU POR QTDE DE ALUNOS</t>
  </si>
  <si>
    <t>QTDE A RETIRAR</t>
  </si>
  <si>
    <r>
      <t xml:space="preserve"> PARA SABER DA SUA ESCOLA DIGITE      A      QTDE   DE   ALUNOS    CADASTRADA NO </t>
    </r>
    <r>
      <rPr>
        <b/>
        <sz val="11"/>
        <color rgb="FF00B050"/>
        <rFont val="Calibri"/>
        <family val="2"/>
        <scheme val="minor"/>
      </rPr>
      <t>Ensino Fundamental</t>
    </r>
    <r>
      <rPr>
        <b/>
        <sz val="11"/>
        <color rgb="FF0000FF"/>
        <rFont val="Calibri"/>
        <family val="2"/>
        <scheme val="minor"/>
      </rPr>
      <t xml:space="preserve"> =&gt;:</t>
    </r>
  </si>
  <si>
    <t>MACARRÃO (Diversos Tipos)</t>
  </si>
  <si>
    <t>ARROZ  PARBOILIZADO TIPO 1</t>
  </si>
  <si>
    <t>ARROZ POLIDO TIPO 2</t>
  </si>
  <si>
    <t>ARROZ POLIDO INTEGRAL</t>
  </si>
  <si>
    <t>ATUM/SARDINHA</t>
  </si>
  <si>
    <t>PRODUTOS TERMO PROCESSADOS - POUCH</t>
  </si>
  <si>
    <t>PRODUTOS IN NATURA</t>
  </si>
  <si>
    <t>FEIJÃO CARIOCA IN NATURA</t>
  </si>
  <si>
    <t>FEIJÃO PRETO IN NATURA</t>
  </si>
  <si>
    <t>FEIJÃO BRANCO IN NATURA</t>
  </si>
  <si>
    <t>FARINHA DE MANDIOCA</t>
  </si>
  <si>
    <t>FLOCOS DE MILHO</t>
  </si>
  <si>
    <t>FUBÁ DE MILHO</t>
  </si>
  <si>
    <t>MISTURA PARA O PREPARO DE BOLO</t>
  </si>
  <si>
    <t>MISTURA P O PREPARAO DE TORTA SEM RECHEIO</t>
  </si>
  <si>
    <t>BEBIDAS E PRODUTOS LÁCTEOS</t>
  </si>
  <si>
    <t>CAFÉ COM LEITE</t>
  </si>
  <si>
    <t>LEITE COM CHOCOLATE TP FRAPÊ</t>
  </si>
  <si>
    <t>LEITE COM MORANGO</t>
  </si>
  <si>
    <t>BISCOITOS SALGADOS</t>
  </si>
  <si>
    <t>BISCOITO DOCE - SABORES</t>
  </si>
  <si>
    <t>BISCOITO DOCE - EI</t>
  </si>
  <si>
    <t>PRODUTOS EM EMBALAGEM INDIVIDUAL</t>
  </si>
  <si>
    <t>BISCOITO SALGADO - EI</t>
  </si>
  <si>
    <t>RECHEIOS</t>
  </si>
  <si>
    <t>GELÉIA (morango/goiaba)</t>
  </si>
  <si>
    <t>CARNE MOÍDA IN NATURA IQF</t>
  </si>
  <si>
    <t>PÃO BISNAGUINHA INTEGRAL</t>
  </si>
  <si>
    <t>50g</t>
  </si>
  <si>
    <t>* Em fase de teste</t>
  </si>
  <si>
    <t>1 escumadeira média</t>
  </si>
  <si>
    <t>50g (115g cozido)</t>
  </si>
  <si>
    <t>3 colheres servir</t>
  </si>
  <si>
    <t>63g</t>
  </si>
  <si>
    <t>3 colheres de sopa cheia</t>
  </si>
  <si>
    <t>1 colher de servir</t>
  </si>
  <si>
    <t>30g</t>
  </si>
  <si>
    <t>1 colher de sopa rasa</t>
  </si>
  <si>
    <t>25 g (60g do grão cozido)</t>
  </si>
  <si>
    <t>25 g (50g cozido)</t>
  </si>
  <si>
    <t>50g (100g cozido)</t>
  </si>
  <si>
    <t>50g (120g cozido)</t>
  </si>
  <si>
    <t>10g</t>
  </si>
  <si>
    <t>25g</t>
  </si>
  <si>
    <t>1 Unidade</t>
  </si>
  <si>
    <t>26,78g / 150ml</t>
  </si>
  <si>
    <t>26g (2 col de sopa)</t>
  </si>
  <si>
    <t>20g</t>
  </si>
  <si>
    <t>40g</t>
  </si>
  <si>
    <t>1 pacote individuaL</t>
  </si>
  <si>
    <t>15g</t>
  </si>
  <si>
    <t>*ainda em fase de teste</t>
  </si>
  <si>
    <t>50g (38g cozido)</t>
  </si>
  <si>
    <t>50g (36g cozido)</t>
  </si>
  <si>
    <t>1 colher de servir rasa</t>
  </si>
  <si>
    <t>1 concha média</t>
  </si>
  <si>
    <t>1 concha grande rasa</t>
  </si>
  <si>
    <t>1 colher de servir cheia</t>
  </si>
  <si>
    <t>2/3 caneca ou 1 concha média</t>
  </si>
  <si>
    <t>1/2 caneca</t>
  </si>
  <si>
    <t>3/4 caneca</t>
  </si>
  <si>
    <t>1 caneca rasa</t>
  </si>
  <si>
    <t>1 colher de sobremesa</t>
  </si>
  <si>
    <t>02 fatias</t>
  </si>
  <si>
    <t xml:space="preserve">50g </t>
  </si>
  <si>
    <t>Produto Crú</t>
  </si>
  <si>
    <t>Nome do Produto</t>
  </si>
  <si>
    <t>Medida caseira</t>
  </si>
  <si>
    <r>
      <t xml:space="preserve"> PARA SABER DA SUA ESCOLA DIGITE      A      QTDE   DE   ALUNOS    CADASTRADA NO </t>
    </r>
    <r>
      <rPr>
        <b/>
        <sz val="11"/>
        <color theme="9" tint="-0.249977111117893"/>
        <rFont val="Calibri"/>
        <family val="2"/>
        <scheme val="minor"/>
      </rPr>
      <t>Ensino Médio e EJA</t>
    </r>
    <r>
      <rPr>
        <b/>
        <sz val="11"/>
        <color rgb="FF0000FF"/>
        <rFont val="Calibri"/>
        <family val="2"/>
        <scheme val="minor"/>
      </rPr>
      <t xml:space="preserve"> =&gt;:</t>
    </r>
  </si>
  <si>
    <t>1 escumadeira cheia</t>
  </si>
  <si>
    <t>3 1/2 colheres servir</t>
  </si>
  <si>
    <t>38g</t>
  </si>
  <si>
    <t>1 colher de sopa cheia</t>
  </si>
  <si>
    <t>32 g (77g do grão cozido)</t>
  </si>
  <si>
    <t>1 concha grande</t>
  </si>
  <si>
    <t>Total a retirar</t>
  </si>
  <si>
    <t>20g (4 unidades)</t>
  </si>
  <si>
    <t>63g (140g cozido)</t>
  </si>
  <si>
    <t>63g (110g cozido)</t>
  </si>
  <si>
    <t>63g (150g cozido)</t>
  </si>
  <si>
    <t>32 g (64g cozido)</t>
  </si>
  <si>
    <t>33,38g / 187 ml</t>
  </si>
  <si>
    <t>34,63g / 187 ml</t>
  </si>
  <si>
    <t>32,5g (2 col de sopa cheia)</t>
  </si>
  <si>
    <t>30g (6 unidades)</t>
  </si>
  <si>
    <t>82g</t>
  </si>
  <si>
    <t>63g (55g cozido)</t>
  </si>
  <si>
    <t>63g (45g cozido)</t>
  </si>
  <si>
    <t>63g (50g cozido)</t>
  </si>
  <si>
    <t>1 filé médio</t>
  </si>
  <si>
    <t>4 a 5 cubos ou 1 col de servir cheia</t>
  </si>
  <si>
    <t>3 a 4 cubos ou 1 colher de servir</t>
  </si>
  <si>
    <r>
      <t>ITENS DO PEME - ALUNO/</t>
    </r>
    <r>
      <rPr>
        <b/>
        <sz val="13"/>
        <color rgb="FFFF0000"/>
        <rFont val="Calibri"/>
        <family val="2"/>
        <scheme val="minor"/>
      </rPr>
      <t>DIA</t>
    </r>
  </si>
  <si>
    <t>1 concha grande cheia</t>
  </si>
  <si>
    <t>1 caneca ou 1 concha grande</t>
  </si>
  <si>
    <t>2/3 caneca</t>
  </si>
  <si>
    <t>1 caneca</t>
  </si>
  <si>
    <t>1 caneca cheia</t>
  </si>
  <si>
    <t>19,60g</t>
  </si>
  <si>
    <t>24,99g / 150ml</t>
  </si>
  <si>
    <t>27,78 / 150ml</t>
  </si>
  <si>
    <t>50g (33g cozido)</t>
  </si>
  <si>
    <t>OVO</t>
  </si>
  <si>
    <t>MISTURA P O PREPARO DE TORTA SEM RECHEIO</t>
  </si>
  <si>
    <t>FILÉ DE POLACA DO ALASCA</t>
  </si>
  <si>
    <t>24,7g</t>
  </si>
  <si>
    <t>31,15g / 187 ml</t>
  </si>
  <si>
    <r>
      <t>TABELA PER CAPITA DOS  PRODUTOS - QUANTIDADE CRUA E COZIDA/</t>
    </r>
    <r>
      <rPr>
        <b/>
        <sz val="13"/>
        <color rgb="FFFF0000"/>
        <rFont val="Calibri"/>
        <family val="2"/>
        <scheme val="minor"/>
      </rPr>
      <t>DIA</t>
    </r>
    <r>
      <rPr>
        <b/>
        <sz val="13"/>
        <color theme="1"/>
        <rFont val="Calibri"/>
        <family val="2"/>
        <scheme val="minor"/>
      </rPr>
      <t xml:space="preserve">                                                                                                           CÁLCULO A RETIRAR PARA O  </t>
    </r>
    <r>
      <rPr>
        <b/>
        <sz val="13"/>
        <color rgb="FF0070C0"/>
        <rFont val="Calibri"/>
        <family val="2"/>
        <scheme val="minor"/>
      </rPr>
      <t>ENSINO FUNDAMENTAL</t>
    </r>
  </si>
  <si>
    <r>
      <t>TABELA PER CAPITA DOS  PRODUTOS - QUANTIDADE CRUA E COZIDA/</t>
    </r>
    <r>
      <rPr>
        <b/>
        <sz val="13"/>
        <color rgb="FFFF0000"/>
        <rFont val="Calibri"/>
        <family val="2"/>
        <scheme val="minor"/>
      </rPr>
      <t xml:space="preserve">DIA  </t>
    </r>
    <r>
      <rPr>
        <b/>
        <sz val="13"/>
        <color theme="1"/>
        <rFont val="Calibri"/>
        <family val="2"/>
        <scheme val="minor"/>
      </rPr>
      <t xml:space="preserve">                                                                                                         CÁLCULO A RETIRAR PARA O </t>
    </r>
    <r>
      <rPr>
        <b/>
        <sz val="13"/>
        <color rgb="FF0070C0"/>
        <rFont val="Calibri"/>
        <family val="2"/>
        <scheme val="minor"/>
      </rPr>
      <t>ENSINO MÉDIO</t>
    </r>
  </si>
  <si>
    <t>CHOCOLATE EM PÓ</t>
  </si>
  <si>
    <t>1 g</t>
  </si>
  <si>
    <t>ARROZ MIX(parbo + polido)</t>
  </si>
  <si>
    <t>2 colheres de sopa cheia</t>
  </si>
  <si>
    <t>LENTILHA IN NATURA</t>
  </si>
  <si>
    <t>ERVILHA SECA IN NATURA</t>
  </si>
  <si>
    <t xml:space="preserve">25 g </t>
  </si>
  <si>
    <t>BEBIDA LÁCTEA UHT-SABORES</t>
  </si>
  <si>
    <t>14g (1 col de sopa)</t>
  </si>
  <si>
    <t>1 colher de sopa média</t>
  </si>
  <si>
    <t>TORRADA</t>
  </si>
  <si>
    <t>20g (2 unidades)</t>
  </si>
  <si>
    <t>FILÉ DE SASSAMI / PEITO CUBOS</t>
  </si>
  <si>
    <t>ÓLEO DE SOJA</t>
  </si>
  <si>
    <t>SAL IODADO</t>
  </si>
  <si>
    <t>CARNE BOVINA EM ISCAS IQF</t>
  </si>
  <si>
    <t>CARNE BOVINA EM CUBOS IQF</t>
  </si>
  <si>
    <t>20 g (50g do grão cozido)</t>
  </si>
  <si>
    <t xml:space="preserve">32 g </t>
  </si>
  <si>
    <t>17,5g(1 col de sopa cheia)</t>
  </si>
  <si>
    <t>1 colher de sopa cheio</t>
  </si>
  <si>
    <t>BISCOITOS e TORRADAS</t>
  </si>
  <si>
    <t>CARNES: BOVINA / FRANGO</t>
  </si>
  <si>
    <t>02 unidades</t>
  </si>
  <si>
    <t>DOCE DE GOIABA</t>
  </si>
  <si>
    <t>BANANADA SEM AÇÚCAR</t>
  </si>
  <si>
    <t>ALMÔNDEGA AO MOLHO</t>
  </si>
  <si>
    <t>CARNE SUÍNA EM ISCAS IQF</t>
  </si>
  <si>
    <t>CARNE SUÍNA EM CUBOS IQF</t>
  </si>
  <si>
    <t>TEMPEROS</t>
  </si>
  <si>
    <t>ACELGA</t>
  </si>
  <si>
    <t>ALFACE CRESPA</t>
  </si>
  <si>
    <t>ALHO BRANCO INTEIRO</t>
  </si>
  <si>
    <t>BANANA NANICA</t>
  </si>
  <si>
    <t>BATATA INGLESA</t>
  </si>
  <si>
    <t>BETERRABA</t>
  </si>
  <si>
    <t>CEBOLA</t>
  </si>
  <si>
    <t>CEBOLINHA</t>
  </si>
  <si>
    <t>CENOURA</t>
  </si>
  <si>
    <t>CHUCHU</t>
  </si>
  <si>
    <t>COUVE MANTEIGA</t>
  </si>
  <si>
    <t>MAÇA GALA</t>
  </si>
  <si>
    <t>MAMÃO FORMOSA</t>
  </si>
  <si>
    <t>MELANCIA</t>
  </si>
  <si>
    <t>REPOLHO</t>
  </si>
  <si>
    <t>SALSA</t>
  </si>
  <si>
    <t>TOMATE SALADA</t>
  </si>
  <si>
    <t>15 g (67,5 do grão cozido com caldo)</t>
  </si>
  <si>
    <t>35g</t>
  </si>
  <si>
    <t>50g (2 unidades)</t>
  </si>
  <si>
    <t>3 unidades</t>
  </si>
  <si>
    <t>2g</t>
  </si>
  <si>
    <t>1 colher de café</t>
  </si>
  <si>
    <t>2 colheres de sopa</t>
  </si>
  <si>
    <t>1 unidade</t>
  </si>
  <si>
    <t>20 g</t>
  </si>
  <si>
    <t>30 g</t>
  </si>
  <si>
    <t>35 g</t>
  </si>
  <si>
    <t>110 g</t>
  </si>
  <si>
    <t>25 g</t>
  </si>
  <si>
    <t>2ml</t>
  </si>
  <si>
    <t>BISCOITOS, PÃES E TORRADAS</t>
  </si>
  <si>
    <t>LEITE EM PÓ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</si>
</sst>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3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 style="thin">
        <color rgb="FF7030A0"/>
      </bottom>
      <diagonal/>
    </border>
    <border>
      <left/>
      <right style="thin">
        <color rgb="FFFF0000"/>
      </right>
      <top/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justify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7" xfId="0" applyBorder="1" applyAlignment="1">
      <alignment horizontal="left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4" fillId="0" borderId="22" xfId="0" applyFont="1" applyBorder="1"/>
    <xf numFmtId="0" fontId="4" fillId="0" borderId="25" xfId="0" applyFont="1" applyBorder="1"/>
    <xf numFmtId="0" fontId="4" fillId="0" borderId="4" xfId="0" applyFont="1" applyBorder="1"/>
    <xf numFmtId="0" fontId="4" fillId="0" borderId="22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9" xfId="0" applyFont="1" applyBorder="1"/>
    <xf numFmtId="0" fontId="4" fillId="0" borderId="21" xfId="0" applyFont="1" applyBorder="1"/>
    <xf numFmtId="0" fontId="4" fillId="0" borderId="27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14" xfId="0" applyFont="1" applyBorder="1"/>
    <xf numFmtId="0" fontId="4" fillId="0" borderId="17" xfId="0" applyFont="1" applyBorder="1"/>
    <xf numFmtId="0" fontId="4" fillId="0" borderId="20" xfId="0" applyFont="1" applyBorder="1"/>
    <xf numFmtId="0" fontId="4" fillId="0" borderId="15" xfId="0" applyFont="1" applyBorder="1"/>
    <xf numFmtId="0" fontId="4" fillId="0" borderId="23" xfId="0" applyFont="1" applyBorder="1"/>
    <xf numFmtId="0" fontId="4" fillId="0" borderId="28" xfId="0" applyFont="1" applyBorder="1"/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4" fillId="0" borderId="7" xfId="0" applyFont="1" applyBorder="1"/>
    <xf numFmtId="0" fontId="4" fillId="0" borderId="40" xfId="0" applyFont="1" applyBorder="1" applyAlignment="1">
      <alignment horizontal="left"/>
    </xf>
    <xf numFmtId="0" fontId="4" fillId="0" borderId="18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16" xfId="0" applyFont="1" applyBorder="1"/>
    <xf numFmtId="0" fontId="4" fillId="0" borderId="24" xfId="0" applyFont="1" applyBorder="1"/>
    <xf numFmtId="0" fontId="4" fillId="0" borderId="43" xfId="0" applyFont="1" applyBorder="1"/>
    <xf numFmtId="0" fontId="3" fillId="0" borderId="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8" fillId="0" borderId="0" xfId="0" applyFont="1"/>
    <xf numFmtId="0" fontId="0" fillId="0" borderId="21" xfId="0" applyBorder="1" applyAlignment="1">
      <alignment horizontal="left"/>
    </xf>
    <xf numFmtId="0" fontId="4" fillId="0" borderId="43" xfId="0" applyFont="1" applyBorder="1" applyAlignment="1">
      <alignment horizontal="left"/>
    </xf>
    <xf numFmtId="0" fontId="1" fillId="0" borderId="7" xfId="0" applyFont="1" applyBorder="1"/>
    <xf numFmtId="0" fontId="4" fillId="0" borderId="27" xfId="0" applyFont="1" applyBorder="1"/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7" fillId="0" borderId="5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17" xfId="0" applyFont="1" applyBorder="1" applyProtection="1"/>
    <xf numFmtId="0" fontId="4" fillId="0" borderId="18" xfId="0" applyFont="1" applyBorder="1" applyProtection="1"/>
    <xf numFmtId="0" fontId="4" fillId="0" borderId="19" xfId="0" applyFont="1" applyBorder="1" applyProtection="1"/>
    <xf numFmtId="0" fontId="4" fillId="0" borderId="20" xfId="0" applyFont="1" applyBorder="1" applyProtection="1"/>
    <xf numFmtId="0" fontId="4" fillId="0" borderId="21" xfId="0" applyFont="1" applyBorder="1" applyProtection="1"/>
    <xf numFmtId="0" fontId="4" fillId="0" borderId="21" xfId="0" applyFont="1" applyBorder="1" applyAlignment="1" applyProtection="1">
      <alignment horizontal="left"/>
    </xf>
    <xf numFmtId="0" fontId="4" fillId="0" borderId="15" xfId="0" applyFont="1" applyBorder="1" applyProtection="1"/>
    <xf numFmtId="0" fontId="4" fillId="0" borderId="16" xfId="0" applyFont="1" applyBorder="1" applyAlignment="1" applyProtection="1">
      <alignment horizontal="left"/>
    </xf>
    <xf numFmtId="0" fontId="4" fillId="0" borderId="23" xfId="0" applyFont="1" applyBorder="1" applyProtection="1"/>
    <xf numFmtId="0" fontId="4" fillId="0" borderId="24" xfId="0" applyFont="1" applyBorder="1" applyProtection="1"/>
    <xf numFmtId="0" fontId="4" fillId="0" borderId="24" xfId="0" applyFont="1" applyBorder="1" applyAlignment="1" applyProtection="1">
      <alignment horizontal="left"/>
    </xf>
    <xf numFmtId="0" fontId="4" fillId="0" borderId="14" xfId="0" applyFont="1" applyBorder="1" applyProtection="1"/>
    <xf numFmtId="0" fontId="4" fillId="0" borderId="43" xfId="0" applyFont="1" applyBorder="1" applyProtection="1"/>
    <xf numFmtId="0" fontId="4" fillId="0" borderId="25" xfId="0" applyFont="1" applyBorder="1" applyProtection="1"/>
    <xf numFmtId="0" fontId="4" fillId="0" borderId="26" xfId="0" applyFont="1" applyBorder="1" applyAlignment="1" applyProtection="1">
      <alignment horizontal="left"/>
    </xf>
    <xf numFmtId="0" fontId="4" fillId="0" borderId="41" xfId="0" applyFont="1" applyBorder="1" applyProtection="1"/>
    <xf numFmtId="0" fontId="4" fillId="0" borderId="27" xfId="0" applyFont="1" applyBorder="1" applyAlignment="1" applyProtection="1">
      <alignment horizontal="left"/>
    </xf>
    <xf numFmtId="0" fontId="4" fillId="0" borderId="42" xfId="0" applyFont="1" applyBorder="1" applyProtection="1"/>
    <xf numFmtId="0" fontId="4" fillId="0" borderId="28" xfId="0" applyFont="1" applyBorder="1" applyProtection="1"/>
    <xf numFmtId="0" fontId="4" fillId="0" borderId="7" xfId="0" applyFont="1" applyBorder="1" applyProtection="1"/>
    <xf numFmtId="0" fontId="4" fillId="0" borderId="22" xfId="0" applyFont="1" applyBorder="1" applyProtection="1"/>
    <xf numFmtId="0" fontId="4" fillId="0" borderId="43" xfId="0" applyFont="1" applyBorder="1" applyAlignment="1" applyProtection="1">
      <alignment horizontal="left"/>
    </xf>
    <xf numFmtId="0" fontId="4" fillId="0" borderId="53" xfId="0" applyFont="1" applyBorder="1" applyProtection="1"/>
    <xf numFmtId="0" fontId="0" fillId="0" borderId="27" xfId="0" applyBorder="1" applyAlignment="1" applyProtection="1">
      <alignment horizontal="left"/>
    </xf>
    <xf numFmtId="0" fontId="4" fillId="0" borderId="4" xfId="0" applyFont="1" applyBorder="1" applyProtection="1"/>
    <xf numFmtId="0" fontId="0" fillId="0" borderId="21" xfId="0" applyBorder="1" applyAlignment="1" applyProtection="1">
      <alignment horizontal="left"/>
    </xf>
    <xf numFmtId="0" fontId="4" fillId="0" borderId="5" xfId="0" applyFont="1" applyBorder="1" applyProtection="1"/>
    <xf numFmtId="0" fontId="4" fillId="0" borderId="6" xfId="0" applyFont="1" applyBorder="1" applyProtection="1"/>
    <xf numFmtId="0" fontId="0" fillId="0" borderId="6" xfId="0" applyBorder="1" applyAlignment="1" applyProtection="1">
      <alignment horizontal="left"/>
    </xf>
    <xf numFmtId="0" fontId="4" fillId="0" borderId="16" xfId="0" applyFont="1" applyBorder="1" applyProtection="1"/>
    <xf numFmtId="0" fontId="4" fillId="0" borderId="29" xfId="0" applyFont="1" applyBorder="1" applyProtection="1"/>
    <xf numFmtId="0" fontId="4" fillId="0" borderId="26" xfId="0" applyFont="1" applyBorder="1" applyProtection="1"/>
    <xf numFmtId="0" fontId="4" fillId="0" borderId="27" xfId="0" applyFont="1" applyBorder="1" applyProtection="1"/>
    <xf numFmtId="0" fontId="2" fillId="0" borderId="47" xfId="0" applyFont="1" applyBorder="1" applyAlignment="1" applyProtection="1">
      <alignment horizontal="center" vertical="center" wrapText="1"/>
    </xf>
    <xf numFmtId="0" fontId="0" fillId="0" borderId="48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0" fillId="2" borderId="0" xfId="0" applyFill="1" applyProtection="1"/>
    <xf numFmtId="0" fontId="4" fillId="0" borderId="54" xfId="0" applyFont="1" applyBorder="1"/>
    <xf numFmtId="0" fontId="4" fillId="0" borderId="55" xfId="0" applyFont="1" applyBorder="1"/>
    <xf numFmtId="0" fontId="4" fillId="0" borderId="38" xfId="0" applyFont="1" applyBorder="1"/>
    <xf numFmtId="0" fontId="1" fillId="0" borderId="53" xfId="0" applyFont="1" applyBorder="1"/>
    <xf numFmtId="0" fontId="1" fillId="0" borderId="7" xfId="0" applyFont="1" applyBorder="1" applyProtection="1"/>
    <xf numFmtId="0" fontId="1" fillId="0" borderId="22" xfId="0" applyFont="1" applyBorder="1" applyProtection="1"/>
    <xf numFmtId="0" fontId="4" fillId="0" borderId="56" xfId="0" applyFont="1" applyBorder="1" applyAlignment="1">
      <alignment horizontal="left"/>
    </xf>
    <xf numFmtId="0" fontId="4" fillId="0" borderId="53" xfId="0" applyFont="1" applyBorder="1"/>
    <xf numFmtId="0" fontId="4" fillId="0" borderId="19" xfId="0" applyFont="1" applyBorder="1" applyAlignment="1">
      <alignment horizontal="left"/>
    </xf>
    <xf numFmtId="0" fontId="4" fillId="0" borderId="57" xfId="0" applyFont="1" applyBorder="1"/>
    <xf numFmtId="0" fontId="4" fillId="0" borderId="42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46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/>
    </xf>
    <xf numFmtId="0" fontId="4" fillId="0" borderId="22" xfId="0" applyFont="1" applyBorder="1" applyAlignment="1" applyProtection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0" fillId="0" borderId="59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21" xfId="0" applyBorder="1"/>
    <xf numFmtId="0" fontId="0" fillId="0" borderId="52" xfId="0" applyBorder="1" applyAlignment="1"/>
    <xf numFmtId="0" fontId="0" fillId="0" borderId="25" xfId="0" applyBorder="1" applyAlignment="1"/>
    <xf numFmtId="0" fontId="3" fillId="4" borderId="13" xfId="0" applyFont="1" applyFill="1" applyBorder="1" applyAlignment="1">
      <alignment horizontal="center" vertical="center"/>
    </xf>
    <xf numFmtId="0" fontId="4" fillId="0" borderId="20" xfId="0" applyFont="1" applyFill="1" applyBorder="1"/>
    <xf numFmtId="0" fontId="0" fillId="0" borderId="29" xfId="0" applyBorder="1"/>
    <xf numFmtId="0" fontId="0" fillId="0" borderId="27" xfId="0" applyBorder="1"/>
    <xf numFmtId="0" fontId="4" fillId="0" borderId="29" xfId="0" applyFont="1" applyFill="1" applyBorder="1" applyAlignment="1">
      <alignment horizontal="left"/>
    </xf>
    <xf numFmtId="0" fontId="4" fillId="0" borderId="27" xfId="0" applyFont="1" applyFill="1" applyBorder="1" applyAlignment="1">
      <alignment horizontal="left"/>
    </xf>
    <xf numFmtId="2" fontId="0" fillId="0" borderId="0" xfId="0" applyNumberFormat="1" applyAlignment="1">
      <alignment horizontal="justify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5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52" xfId="0" applyBorder="1" applyAlignment="1">
      <alignment horizontal="left"/>
    </xf>
    <xf numFmtId="0" fontId="0" fillId="0" borderId="25" xfId="0" applyBorder="1" applyAlignment="1">
      <alignment horizontal="left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628650</xdr:colOff>
      <xdr:row>0</xdr:row>
      <xdr:rowOff>95250</xdr:rowOff>
    </xdr:from>
    <xdr:to>
      <xdr:col>7</xdr:col>
      <xdr:colOff>495300</xdr:colOff>
      <xdr:row>1</xdr:row>
      <xdr:rowOff>219075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020550" y="95250"/>
          <a:ext cx="600075" cy="3238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85725</xdr:colOff>
      <xdr:row>0</xdr:row>
      <xdr:rowOff>123825</xdr:rowOff>
    </xdr:from>
    <xdr:to>
      <xdr:col>8</xdr:col>
      <xdr:colOff>76200</xdr:colOff>
      <xdr:row>1</xdr:row>
      <xdr:rowOff>247650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ACFE2458-B3A2-4E25-9E36-BFF3C562BBA1}"/>
            </a:ext>
          </a:extLst>
        </xdr:cNvPr>
        <xdr:cNvSpPr/>
      </xdr:nvSpPr>
      <xdr:spPr>
        <a:xfrm>
          <a:off x="12096750" y="123825"/>
          <a:ext cx="600075" cy="3238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523875</xdr:colOff>
      <xdr:row>54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19DF84-CA33-4FDA-B523-A833BDAA3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58275" cy="1032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14</xdr:col>
      <xdr:colOff>485775</xdr:colOff>
      <xdr:row>76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133CE2-C607-41BA-88B3-33BF68AB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9020175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H78"/>
  <sheetViews>
    <sheetView topLeftCell="A7" workbookViewId="0">
      <selection activeCell="G1" sqref="G1:G2"/>
    </sheetView>
  </sheetViews>
  <sheetFormatPr defaultRowHeight="15" x14ac:dyDescent="0.25"/>
  <cols>
    <col min="1" max="1" width="38.7109375" customWidth="1"/>
    <col min="2" max="2" width="29.7109375" customWidth="1"/>
    <col min="3" max="3" width="19.7109375" customWidth="1"/>
    <col min="4" max="4" width="28.42578125" customWidth="1"/>
    <col min="5" max="5" width="5.7109375" style="8" customWidth="1"/>
    <col min="6" max="6" width="48.5703125" style="2" customWidth="1"/>
    <col min="7" max="7" width="11" customWidth="1"/>
    <col min="8" max="8" width="14.85546875" customWidth="1"/>
  </cols>
  <sheetData>
    <row r="1" spans="1:7" ht="15.75" customHeight="1" x14ac:dyDescent="0.25">
      <c r="A1" s="142" t="s">
        <v>122</v>
      </c>
      <c r="B1" s="143"/>
      <c r="C1" s="143"/>
      <c r="D1" s="144"/>
      <c r="F1" s="140" t="s">
        <v>14</v>
      </c>
      <c r="G1" s="152"/>
    </row>
    <row r="2" spans="1:7" ht="27" customHeight="1" thickBot="1" x14ac:dyDescent="0.3">
      <c r="A2" s="145"/>
      <c r="B2" s="146"/>
      <c r="C2" s="146"/>
      <c r="D2" s="147"/>
      <c r="F2" s="141"/>
      <c r="G2" s="153"/>
    </row>
    <row r="3" spans="1:7" ht="27" customHeight="1" thickTop="1" thickBot="1" x14ac:dyDescent="0.3">
      <c r="A3" s="39" t="s">
        <v>81</v>
      </c>
      <c r="B3" s="40" t="s">
        <v>80</v>
      </c>
      <c r="C3" s="41" t="s">
        <v>90</v>
      </c>
      <c r="D3" s="38" t="s">
        <v>82</v>
      </c>
      <c r="F3" s="84"/>
      <c r="G3" s="85"/>
    </row>
    <row r="4" spans="1:7" ht="24.95" customHeight="1" thickBot="1" x14ac:dyDescent="0.3">
      <c r="A4" s="123" t="s">
        <v>0</v>
      </c>
      <c r="B4" s="124"/>
      <c r="C4" s="124"/>
      <c r="D4" s="125"/>
      <c r="F4" s="148" t="s">
        <v>12</v>
      </c>
      <c r="G4" s="149"/>
    </row>
    <row r="5" spans="1:7" ht="15.75" customHeight="1" x14ac:dyDescent="0.25">
      <c r="A5" s="25" t="s">
        <v>126</v>
      </c>
      <c r="B5" s="35" t="s">
        <v>43</v>
      </c>
      <c r="C5" s="16" t="str">
        <f>F5</f>
        <v>0kg</v>
      </c>
      <c r="D5" s="99" t="s">
        <v>45</v>
      </c>
      <c r="F5" s="121" t="str">
        <f>($G$1*50)/1000&amp;"kg"</f>
        <v>0kg</v>
      </c>
      <c r="G5" s="122"/>
    </row>
    <row r="6" spans="1:7" x14ac:dyDescent="0.25">
      <c r="A6" s="25" t="s">
        <v>16</v>
      </c>
      <c r="B6" s="35" t="s">
        <v>43</v>
      </c>
      <c r="C6" s="16" t="str">
        <f>F6</f>
        <v>0kg</v>
      </c>
      <c r="D6" s="99" t="s">
        <v>45</v>
      </c>
      <c r="F6" s="121" t="str">
        <f>($G$1*50)/1000&amp;"kg"</f>
        <v>0kg</v>
      </c>
      <c r="G6" s="122"/>
    </row>
    <row r="7" spans="1:7" x14ac:dyDescent="0.25">
      <c r="A7" s="24" t="s">
        <v>17</v>
      </c>
      <c r="B7" s="19" t="s">
        <v>56</v>
      </c>
      <c r="C7" s="15" t="str">
        <f>F7</f>
        <v>0kg</v>
      </c>
      <c r="D7" s="99" t="s">
        <v>45</v>
      </c>
      <c r="F7" s="121" t="str">
        <f>($G$1*50/1000)&amp;"kg"</f>
        <v>0kg</v>
      </c>
      <c r="G7" s="122"/>
    </row>
    <row r="8" spans="1:7" x14ac:dyDescent="0.25">
      <c r="A8" s="25" t="s">
        <v>18</v>
      </c>
      <c r="B8" s="19" t="s">
        <v>55</v>
      </c>
      <c r="C8" s="16" t="str">
        <f>F8</f>
        <v>0kg</v>
      </c>
      <c r="D8" s="98" t="s">
        <v>45</v>
      </c>
      <c r="F8" s="121" t="str">
        <f>($G$1*50/1000)&amp;"kg"</f>
        <v>0kg</v>
      </c>
      <c r="G8" s="122"/>
    </row>
    <row r="9" spans="1:7" ht="15.75" thickBot="1" x14ac:dyDescent="0.3">
      <c r="A9" s="26" t="s">
        <v>15</v>
      </c>
      <c r="B9" s="36" t="s">
        <v>46</v>
      </c>
      <c r="C9" s="17" t="str">
        <f>F9</f>
        <v>0kg</v>
      </c>
      <c r="D9" s="96" t="s">
        <v>47</v>
      </c>
      <c r="F9" s="121" t="str">
        <f>($G$1*50)/1000&amp;"kg"</f>
        <v>0kg</v>
      </c>
      <c r="G9" s="122"/>
    </row>
    <row r="10" spans="1:7" ht="24.95" customHeight="1" thickBot="1" x14ac:dyDescent="0.3">
      <c r="A10" s="123" t="s">
        <v>20</v>
      </c>
      <c r="B10" s="124"/>
      <c r="C10" s="124"/>
      <c r="D10" s="125"/>
      <c r="F10" s="130"/>
      <c r="G10" s="131"/>
    </row>
    <row r="11" spans="1:7" x14ac:dyDescent="0.25">
      <c r="A11" s="25" t="s">
        <v>19</v>
      </c>
      <c r="B11" s="35" t="s">
        <v>43</v>
      </c>
      <c r="C11" s="16" t="str">
        <f>F11</f>
        <v>0kg</v>
      </c>
      <c r="D11" s="92" t="s">
        <v>127</v>
      </c>
      <c r="F11" s="121" t="str">
        <f>($G$1*50)/1000&amp;"kg"</f>
        <v>0kg</v>
      </c>
      <c r="G11" s="122"/>
    </row>
    <row r="12" spans="1:7" ht="15.75" thickBot="1" x14ac:dyDescent="0.3">
      <c r="A12" s="27" t="s">
        <v>146</v>
      </c>
      <c r="B12" s="37" t="s">
        <v>43</v>
      </c>
      <c r="C12" s="44" t="str">
        <f>F12</f>
        <v>0kg</v>
      </c>
      <c r="D12" s="45" t="s">
        <v>50</v>
      </c>
      <c r="F12" s="121" t="str">
        <f>($G$1*50)/1000&amp;"kg"</f>
        <v>0kg</v>
      </c>
      <c r="G12" s="122"/>
    </row>
    <row r="13" spans="1:7" ht="24.95" customHeight="1" thickBot="1" x14ac:dyDescent="0.3">
      <c r="A13" s="123" t="s">
        <v>1</v>
      </c>
      <c r="B13" s="124"/>
      <c r="C13" s="124"/>
      <c r="D13" s="125"/>
      <c r="F13" s="130"/>
      <c r="G13" s="131"/>
    </row>
    <row r="14" spans="1:7" ht="15.75" thickBot="1" x14ac:dyDescent="0.3">
      <c r="A14" s="22" t="s">
        <v>3</v>
      </c>
      <c r="B14" s="37" t="s">
        <v>51</v>
      </c>
      <c r="C14" s="17" t="str">
        <f>F14</f>
        <v>0Kg</v>
      </c>
      <c r="D14" s="11" t="s">
        <v>52</v>
      </c>
      <c r="F14" s="121" t="str">
        <f>($G$1*30)/1000&amp;"Kg"</f>
        <v>0Kg</v>
      </c>
      <c r="G14" s="122"/>
    </row>
    <row r="15" spans="1:7" ht="24.95" customHeight="1" thickBot="1" x14ac:dyDescent="0.3">
      <c r="A15" s="123" t="s">
        <v>21</v>
      </c>
      <c r="B15" s="124"/>
      <c r="C15" s="124"/>
      <c r="D15" s="125"/>
      <c r="F15" s="28"/>
      <c r="G15" s="29"/>
    </row>
    <row r="16" spans="1:7" x14ac:dyDescent="0.25">
      <c r="A16" s="23" t="s">
        <v>22</v>
      </c>
      <c r="B16" s="32" t="s">
        <v>53</v>
      </c>
      <c r="C16" s="21" t="str">
        <f>F16</f>
        <v>0Kg</v>
      </c>
      <c r="D16" s="33" t="s">
        <v>71</v>
      </c>
      <c r="F16" s="121" t="str">
        <f>($G$1*25)/1000&amp;"Kg"</f>
        <v>0Kg</v>
      </c>
      <c r="G16" s="122"/>
    </row>
    <row r="17" spans="1:7" x14ac:dyDescent="0.25">
      <c r="A17" s="24" t="s">
        <v>23</v>
      </c>
      <c r="B17" s="19" t="s">
        <v>54</v>
      </c>
      <c r="C17" s="20" t="str">
        <f>F17</f>
        <v>0Kg</v>
      </c>
      <c r="D17" s="34" t="s">
        <v>70</v>
      </c>
      <c r="F17" s="121" t="str">
        <f>($G$1*25)/1000&amp;"Kg"</f>
        <v>0Kg</v>
      </c>
      <c r="G17" s="122"/>
    </row>
    <row r="18" spans="1:7" ht="15.75" thickBot="1" x14ac:dyDescent="0.3">
      <c r="A18" s="24" t="s">
        <v>24</v>
      </c>
      <c r="B18" s="19" t="s">
        <v>53</v>
      </c>
      <c r="C18" s="31" t="str">
        <f>F18</f>
        <v>0Kg</v>
      </c>
      <c r="D18" s="30" t="s">
        <v>71</v>
      </c>
      <c r="F18" s="121" t="str">
        <f>($G$1*25)/1000&amp;"Kg"</f>
        <v>0Kg</v>
      </c>
      <c r="G18" s="122"/>
    </row>
    <row r="19" spans="1:7" x14ac:dyDescent="0.25">
      <c r="A19" s="24" t="s">
        <v>128</v>
      </c>
      <c r="B19" s="19" t="s">
        <v>171</v>
      </c>
      <c r="C19" s="21" t="str">
        <f>F19</f>
        <v>0Kg</v>
      </c>
      <c r="D19" s="33" t="s">
        <v>71</v>
      </c>
      <c r="F19" s="121" t="str">
        <f>($G$1*15)/1000&amp;"Kg"</f>
        <v>0Kg</v>
      </c>
      <c r="G19" s="122"/>
    </row>
    <row r="20" spans="1:7" ht="15.75" thickBot="1" x14ac:dyDescent="0.3">
      <c r="A20" s="27" t="s">
        <v>129</v>
      </c>
      <c r="B20" s="19" t="s">
        <v>130</v>
      </c>
      <c r="C20" s="31" t="str">
        <f>F20</f>
        <v>0Kg</v>
      </c>
      <c r="D20" s="96" t="s">
        <v>71</v>
      </c>
      <c r="F20" s="121" t="str">
        <f>($G$1*25)/1000&amp;"Kg"</f>
        <v>0Kg</v>
      </c>
      <c r="G20" s="122"/>
    </row>
    <row r="21" spans="1:7" ht="24.95" customHeight="1" thickBot="1" x14ac:dyDescent="0.3">
      <c r="A21" s="123" t="s">
        <v>2</v>
      </c>
      <c r="B21" s="124"/>
      <c r="C21" s="124"/>
      <c r="D21" s="125"/>
      <c r="F21" s="130"/>
      <c r="G21" s="131"/>
    </row>
    <row r="22" spans="1:7" x14ac:dyDescent="0.25">
      <c r="A22" s="24" t="s">
        <v>25</v>
      </c>
      <c r="B22" s="19" t="s">
        <v>57</v>
      </c>
      <c r="C22" s="15" t="str">
        <f t="shared" ref="C22:C25" si="0">F22</f>
        <v>0kg</v>
      </c>
      <c r="D22" s="10" t="s">
        <v>52</v>
      </c>
      <c r="F22" s="121" t="str">
        <f>($G$1*10)/1000&amp;"kg"</f>
        <v>0kg</v>
      </c>
      <c r="G22" s="122"/>
    </row>
    <row r="23" spans="1:7" x14ac:dyDescent="0.25">
      <c r="A23" s="24" t="s">
        <v>26</v>
      </c>
      <c r="B23" s="19" t="s">
        <v>51</v>
      </c>
      <c r="C23" s="15" t="str">
        <f t="shared" si="0"/>
        <v>0kg</v>
      </c>
      <c r="D23" s="10" t="s">
        <v>73</v>
      </c>
      <c r="F23" s="121" t="str">
        <f>($G$1*30)/1000&amp;"kg"</f>
        <v>0kg</v>
      </c>
      <c r="G23" s="122"/>
    </row>
    <row r="24" spans="1:7" x14ac:dyDescent="0.25">
      <c r="A24" s="24" t="s">
        <v>28</v>
      </c>
      <c r="B24" s="19" t="s">
        <v>58</v>
      </c>
      <c r="C24" s="20" t="str">
        <f t="shared" si="0"/>
        <v>0kg</v>
      </c>
      <c r="D24" s="10" t="s">
        <v>63</v>
      </c>
      <c r="F24" s="121" t="str">
        <f>($G$1*25)/1000&amp;"kg"</f>
        <v>0kg</v>
      </c>
      <c r="G24" s="122"/>
    </row>
    <row r="25" spans="1:7" ht="15.75" thickBot="1" x14ac:dyDescent="0.3">
      <c r="A25" s="27" t="s">
        <v>118</v>
      </c>
      <c r="B25" s="15" t="s">
        <v>113</v>
      </c>
      <c r="C25" s="44" t="str">
        <f t="shared" si="0"/>
        <v>0kg</v>
      </c>
      <c r="D25" s="10" t="s">
        <v>172</v>
      </c>
      <c r="F25" s="121" t="str">
        <f>($G$1*19.6)/1000&amp;"kg"</f>
        <v>0kg</v>
      </c>
      <c r="G25" s="122"/>
    </row>
    <row r="26" spans="1:7" ht="24.95" customHeight="1" thickBot="1" x14ac:dyDescent="0.3">
      <c r="A26" s="123" t="s">
        <v>30</v>
      </c>
      <c r="B26" s="124"/>
      <c r="C26" s="124"/>
      <c r="D26" s="125"/>
      <c r="F26" s="130"/>
      <c r="G26" s="131"/>
    </row>
    <row r="27" spans="1:7" x14ac:dyDescent="0.25">
      <c r="A27" s="24" t="s">
        <v>131</v>
      </c>
      <c r="B27" s="19" t="s">
        <v>59</v>
      </c>
      <c r="C27" s="6" t="str">
        <f>$G$1&amp;" Unidades"</f>
        <v xml:space="preserve"> Unidades</v>
      </c>
      <c r="D27" s="12" t="s">
        <v>59</v>
      </c>
      <c r="F27" s="121" t="str">
        <f>$G$1 &amp; " Unidades"</f>
        <v xml:space="preserve"> Unidades</v>
      </c>
      <c r="G27" s="122"/>
    </row>
    <row r="28" spans="1:7" x14ac:dyDescent="0.25">
      <c r="A28" s="24" t="s">
        <v>31</v>
      </c>
      <c r="B28" s="19" t="s">
        <v>114</v>
      </c>
      <c r="C28" s="6" t="str">
        <f>F28</f>
        <v>0kg</v>
      </c>
      <c r="D28" s="10" t="s">
        <v>74</v>
      </c>
      <c r="F28" s="121" t="str">
        <f>($G$1*24.99)/1000&amp;"kg"</f>
        <v>0kg</v>
      </c>
      <c r="G28" s="122"/>
    </row>
    <row r="29" spans="1:7" x14ac:dyDescent="0.25">
      <c r="A29" s="24" t="s">
        <v>32</v>
      </c>
      <c r="B29" s="19" t="s">
        <v>60</v>
      </c>
      <c r="C29" s="6" t="str">
        <f>F29</f>
        <v>0kg</v>
      </c>
      <c r="D29" s="12" t="s">
        <v>75</v>
      </c>
      <c r="F29" s="121" t="str">
        <f>($G$1*26.78)/1000&amp;"kg"</f>
        <v>0kg</v>
      </c>
      <c r="G29" s="122"/>
    </row>
    <row r="30" spans="1:7" x14ac:dyDescent="0.25">
      <c r="A30" s="24" t="s">
        <v>33</v>
      </c>
      <c r="B30" s="19" t="s">
        <v>115</v>
      </c>
      <c r="C30" s="43" t="str">
        <f>F30</f>
        <v>0kg</v>
      </c>
      <c r="D30" s="10" t="s">
        <v>110</v>
      </c>
      <c r="F30" s="121" t="str">
        <f>($G$1*27.78)/1000&amp;"kg"</f>
        <v>0kg</v>
      </c>
      <c r="G30" s="122"/>
    </row>
    <row r="31" spans="1:7" x14ac:dyDescent="0.25">
      <c r="A31" s="24" t="s">
        <v>186</v>
      </c>
      <c r="B31" s="46" t="s">
        <v>61</v>
      </c>
      <c r="C31" s="6" t="str">
        <f>F31</f>
        <v>0kg</v>
      </c>
      <c r="D31" s="10" t="s">
        <v>76</v>
      </c>
      <c r="F31" s="121" t="str">
        <f>($G$1*26)/1000&amp;"kg"</f>
        <v>0kg</v>
      </c>
      <c r="G31" s="122"/>
    </row>
    <row r="32" spans="1:7" ht="15.75" thickBot="1" x14ac:dyDescent="0.3">
      <c r="A32" s="26" t="s">
        <v>124</v>
      </c>
      <c r="B32" s="91" t="s">
        <v>132</v>
      </c>
      <c r="C32" s="100"/>
      <c r="D32" s="30" t="s">
        <v>133</v>
      </c>
      <c r="F32" s="121" t="str">
        <f>($G$1*14)/1000&amp;"kg"</f>
        <v>0kg</v>
      </c>
      <c r="G32" s="122"/>
    </row>
    <row r="33" spans="1:8" ht="24.95" customHeight="1" thickBot="1" x14ac:dyDescent="0.3">
      <c r="A33" s="123" t="s">
        <v>185</v>
      </c>
      <c r="B33" s="124"/>
      <c r="C33" s="124"/>
      <c r="D33" s="125"/>
      <c r="F33" s="130"/>
      <c r="G33" s="131"/>
    </row>
    <row r="34" spans="1:8" x14ac:dyDescent="0.25">
      <c r="A34" s="23" t="s">
        <v>34</v>
      </c>
      <c r="B34" s="32" t="s">
        <v>91</v>
      </c>
      <c r="C34" s="126" t="str">
        <f>($G$1*20)/1000&amp;"kg"</f>
        <v>0kg</v>
      </c>
      <c r="D34" s="127"/>
      <c r="F34" s="121" t="str">
        <f>($G$1*20)/1000&amp;"kg"&amp;" - CORRESPONDE - "&amp;4*$G$1&amp;" Unidades"</f>
        <v>0kg - CORRESPONDE - 0 Unidades</v>
      </c>
      <c r="G34" s="122"/>
      <c r="H34" s="1"/>
    </row>
    <row r="35" spans="1:8" x14ac:dyDescent="0.25">
      <c r="A35" s="24" t="s">
        <v>35</v>
      </c>
      <c r="B35" s="19" t="s">
        <v>91</v>
      </c>
      <c r="C35" s="128" t="str">
        <f>($G$1*20)/1000&amp;"kg"</f>
        <v>0kg</v>
      </c>
      <c r="D35" s="129"/>
      <c r="F35" s="121" t="str">
        <f>($G$1*20)/1000&amp;"kg"&amp;" - CORRESPONDE - "&amp;4*$G$1&amp;" Unidades"</f>
        <v>0kg - CORRESPONDE - 0 Unidades</v>
      </c>
      <c r="G35" s="122"/>
      <c r="H35" s="1"/>
    </row>
    <row r="36" spans="1:8" x14ac:dyDescent="0.25">
      <c r="A36" s="89" t="s">
        <v>42</v>
      </c>
      <c r="B36" s="90" t="s">
        <v>173</v>
      </c>
      <c r="C36" s="109" t="str">
        <f>($G$1*50)/1000&amp;"kg"</f>
        <v>0kg</v>
      </c>
      <c r="D36" s="110"/>
      <c r="F36" s="105" t="str">
        <f>($G$1*50)/1000&amp;"kg"&amp;" - CORRESPONDE - "&amp;2*$G$1&amp;" Unidades"</f>
        <v>0kg - CORRESPONDE - 0 Unidades</v>
      </c>
      <c r="G36" s="106"/>
      <c r="H36" s="1"/>
    </row>
    <row r="37" spans="1:8" x14ac:dyDescent="0.25">
      <c r="A37" s="89" t="s">
        <v>7</v>
      </c>
      <c r="B37" s="90" t="s">
        <v>173</v>
      </c>
      <c r="C37" s="109" t="str">
        <f>($G$1*50)/1000&amp;"kg"</f>
        <v>0kg</v>
      </c>
      <c r="D37" s="110"/>
      <c r="F37" s="105" t="str">
        <f>($G$1*50)/1000&amp;"kg"&amp;" - CORRESPONDE - "&amp;2*$G$1&amp;" Unidades"</f>
        <v>0kg - CORRESPONDE - 0 Unidades</v>
      </c>
      <c r="G37" s="106"/>
      <c r="H37" s="1"/>
    </row>
    <row r="38" spans="1:8" ht="15.75" thickBot="1" x14ac:dyDescent="0.3">
      <c r="A38" s="26" t="s">
        <v>134</v>
      </c>
      <c r="B38" s="91" t="s">
        <v>135</v>
      </c>
      <c r="C38" s="112" t="str">
        <f>($G$1*20)/1000&amp;"kg"</f>
        <v>0kg</v>
      </c>
      <c r="D38" s="113"/>
      <c r="F38" s="121" t="str">
        <f>($G$1*20)/1000&amp;"kg"&amp;" - CORRESPONDE - "&amp;2*$G$1&amp;" Unidades"</f>
        <v>0kg - CORRESPONDE - 0 Unidades</v>
      </c>
      <c r="G38" s="122"/>
      <c r="H38" s="1"/>
    </row>
    <row r="39" spans="1:8" ht="20.85" customHeight="1" thickBot="1" x14ac:dyDescent="0.3">
      <c r="A39" s="123" t="s">
        <v>37</v>
      </c>
      <c r="B39" s="124"/>
      <c r="C39" s="124"/>
      <c r="D39" s="125"/>
      <c r="F39" s="121"/>
      <c r="G39" s="122"/>
      <c r="H39" s="1"/>
    </row>
    <row r="40" spans="1:8" x14ac:dyDescent="0.25">
      <c r="A40" s="25" t="s">
        <v>36</v>
      </c>
      <c r="B40" s="35" t="s">
        <v>51</v>
      </c>
      <c r="C40" s="18" t="str">
        <f>($G$1*30)/1000&amp;"kg"</f>
        <v>0kg</v>
      </c>
      <c r="D40" s="138" t="s">
        <v>64</v>
      </c>
      <c r="F40" s="121" t="str">
        <f>($G$1*30)/1000&amp;"kg"&amp;" - CORRESPONDE - "&amp;1*$G$1&amp;" Pacotes Individuais"</f>
        <v>0kg - CORRESPONDE - 0 Pacotes Individuais</v>
      </c>
      <c r="G40" s="122"/>
      <c r="H40" s="1"/>
    </row>
    <row r="41" spans="1:8" x14ac:dyDescent="0.25">
      <c r="A41" s="25" t="s">
        <v>38</v>
      </c>
      <c r="B41" s="35" t="s">
        <v>51</v>
      </c>
      <c r="C41" s="18" t="str">
        <f>($G$1*30)/1000&amp;"kg"</f>
        <v>0kg</v>
      </c>
      <c r="D41" s="139"/>
      <c r="F41" s="121" t="str">
        <f>($G$1*30)/1000&amp;"kg"&amp;" - CORRESPONDE - "&amp;1*$G$1&amp;" Pacotes individuais"</f>
        <v>0kg - CORRESPONDE - 0 Pacotes individuais</v>
      </c>
      <c r="G41" s="122"/>
    </row>
    <row r="42" spans="1:8" x14ac:dyDescent="0.25">
      <c r="A42" s="24" t="s">
        <v>148</v>
      </c>
      <c r="B42" s="19" t="s">
        <v>58</v>
      </c>
      <c r="C42" s="18" t="str">
        <f>($G$1*25)/1000&amp;"kg"</f>
        <v>0kg</v>
      </c>
      <c r="D42" s="139"/>
      <c r="F42" s="121" t="str">
        <f>($G$1*25)/1000&amp;"kg"&amp;" - CORRESPONDE - "&amp;1*$G$1&amp;" Pacotes Individuais"</f>
        <v>0kg - CORRESPONDE - 0 Pacotes Individuais</v>
      </c>
      <c r="G42" s="122"/>
    </row>
    <row r="43" spans="1:8" x14ac:dyDescent="0.25">
      <c r="A43" s="25" t="s">
        <v>149</v>
      </c>
      <c r="B43" s="35" t="s">
        <v>51</v>
      </c>
      <c r="C43" s="18" t="str">
        <f>($G$1*30)/1000&amp;"kg"</f>
        <v>0kg</v>
      </c>
      <c r="D43" s="139"/>
      <c r="F43" s="121" t="str">
        <f>($G$1*30)/1000&amp;"kg"&amp;" - CORRESPONDE - "&amp;1*$G$1&amp;" Pacotes Individuais"</f>
        <v>0kg - CORRESPONDE - 0 Pacotes Individuais</v>
      </c>
      <c r="G43" s="122"/>
    </row>
    <row r="44" spans="1:8" ht="15.75" thickBot="1" x14ac:dyDescent="0.3">
      <c r="A44" s="25" t="s">
        <v>5</v>
      </c>
      <c r="B44" s="35" t="s">
        <v>63</v>
      </c>
      <c r="C44" s="18" t="str">
        <f>($G$1*40)/1000&amp;"kg"</f>
        <v>0kg</v>
      </c>
      <c r="D44" s="139"/>
      <c r="F44" s="121" t="str">
        <f>($G$1*40)/1000&amp;"kg"&amp;" - CORRESPONDE - "&amp;1*$G$1&amp;" Pacotes Individuais"</f>
        <v>0kg - CORRESPONDE - 0 Pacotes Individuais</v>
      </c>
      <c r="G44" s="122"/>
    </row>
    <row r="45" spans="1:8" ht="24.95" customHeight="1" thickBot="1" x14ac:dyDescent="0.3">
      <c r="A45" s="123" t="s">
        <v>39</v>
      </c>
      <c r="B45" s="124"/>
      <c r="C45" s="124"/>
      <c r="D45" s="125"/>
      <c r="F45" s="121"/>
      <c r="G45" s="122"/>
    </row>
    <row r="46" spans="1:8" ht="15.75" thickBot="1" x14ac:dyDescent="0.3">
      <c r="A46" s="24" t="s">
        <v>40</v>
      </c>
      <c r="B46" s="19" t="s">
        <v>65</v>
      </c>
      <c r="C46" s="18" t="str">
        <f>($G$1*15)/1000&amp;"kg"</f>
        <v>0kg</v>
      </c>
      <c r="D46" s="10" t="s">
        <v>77</v>
      </c>
      <c r="F46" s="121" t="str">
        <f>($G$1*15)/1000&amp;"kg"</f>
        <v>0kg</v>
      </c>
      <c r="G46" s="122"/>
    </row>
    <row r="47" spans="1:8" ht="24.95" customHeight="1" thickBot="1" x14ac:dyDescent="0.3">
      <c r="A47" s="123" t="s">
        <v>6</v>
      </c>
      <c r="B47" s="124"/>
      <c r="C47" s="124"/>
      <c r="D47" s="125"/>
      <c r="F47" s="130"/>
      <c r="G47" s="131"/>
    </row>
    <row r="48" spans="1:8" x14ac:dyDescent="0.25">
      <c r="A48" s="24" t="s">
        <v>136</v>
      </c>
      <c r="B48" s="19" t="s">
        <v>43</v>
      </c>
      <c r="C48" s="46" t="str">
        <f>($G$1*50)/1000&amp;"kg"</f>
        <v>0kg</v>
      </c>
      <c r="D48" s="10" t="s">
        <v>106</v>
      </c>
      <c r="F48" s="121" t="str">
        <f>($G$1*50)/1000&amp;"kg"</f>
        <v>0kg</v>
      </c>
      <c r="G48" s="122"/>
    </row>
    <row r="49" spans="1:7" x14ac:dyDescent="0.25">
      <c r="A49" s="24" t="s">
        <v>150</v>
      </c>
      <c r="B49" s="19" t="s">
        <v>48</v>
      </c>
      <c r="C49" s="18" t="str">
        <f>($G$1*63)/1000&amp;"kg"</f>
        <v>0kg</v>
      </c>
      <c r="D49" s="10" t="s">
        <v>174</v>
      </c>
      <c r="F49" s="121" t="str">
        <f>($G$1*63)/1000&amp;"kg"&amp;" - CORRESPONDE - "&amp;3*$G$1&amp;" Unidades"</f>
        <v>0kg - CORRESPONDE - 0 Unidades</v>
      </c>
      <c r="G49" s="122"/>
    </row>
    <row r="50" spans="1:7" x14ac:dyDescent="0.25">
      <c r="A50" s="24" t="s">
        <v>151</v>
      </c>
      <c r="B50" s="19" t="s">
        <v>43</v>
      </c>
      <c r="C50" s="18" t="str">
        <f>($G$1*50)/1000&amp;"kg"</f>
        <v>0kg</v>
      </c>
      <c r="D50" s="10" t="s">
        <v>69</v>
      </c>
      <c r="F50" s="121" t="str">
        <f>($G$1*50)/1000&amp;"kg"</f>
        <v>0kg</v>
      </c>
      <c r="G50" s="122"/>
    </row>
    <row r="51" spans="1:7" x14ac:dyDescent="0.25">
      <c r="A51" s="24" t="s">
        <v>152</v>
      </c>
      <c r="B51" s="19" t="s">
        <v>43</v>
      </c>
      <c r="C51" s="18" t="str">
        <f>($G$1*50)/1000&amp;"kg"</f>
        <v>0kg</v>
      </c>
      <c r="D51" s="10" t="s">
        <v>106</v>
      </c>
      <c r="F51" s="121" t="str">
        <f>($G$1*50)/1000&amp;"kg"</f>
        <v>0kg</v>
      </c>
      <c r="G51" s="122"/>
    </row>
    <row r="52" spans="1:7" x14ac:dyDescent="0.25">
      <c r="A52" s="24" t="s">
        <v>41</v>
      </c>
      <c r="B52" s="19" t="s">
        <v>67</v>
      </c>
      <c r="C52" s="18" t="str">
        <f>($G$1*50)/1000&amp;"kg"</f>
        <v>0kg</v>
      </c>
      <c r="D52" s="10" t="s">
        <v>69</v>
      </c>
      <c r="F52" s="121" t="str">
        <f>($G$1*50)/1000&amp;"kg"</f>
        <v>0kg</v>
      </c>
      <c r="G52" s="122"/>
    </row>
    <row r="53" spans="1:7" x14ac:dyDescent="0.25">
      <c r="A53" s="24" t="s">
        <v>139</v>
      </c>
      <c r="B53" s="19" t="s">
        <v>116</v>
      </c>
      <c r="C53" s="18" t="str">
        <f t="shared" ref="C53:C54" si="1">($G$1*50)/1000&amp;"kg"</f>
        <v>0kg</v>
      </c>
      <c r="D53" s="10" t="s">
        <v>69</v>
      </c>
      <c r="F53" s="121" t="str">
        <f>($G$1*50)/1000&amp;"kg"</f>
        <v>0kg</v>
      </c>
      <c r="G53" s="122"/>
    </row>
    <row r="54" spans="1:7" ht="15.75" thickBot="1" x14ac:dyDescent="0.3">
      <c r="A54" s="24" t="s">
        <v>140</v>
      </c>
      <c r="B54" s="19" t="s">
        <v>68</v>
      </c>
      <c r="C54" s="18" t="str">
        <f t="shared" si="1"/>
        <v>0kg</v>
      </c>
      <c r="D54" s="34" t="s">
        <v>106</v>
      </c>
      <c r="F54" s="121" t="str">
        <f>($G$1*50)/1000&amp;"kg"</f>
        <v>0kg</v>
      </c>
      <c r="G54" s="122"/>
    </row>
    <row r="55" spans="1:7" s="7" customFormat="1" ht="24.95" customHeight="1" thickBot="1" x14ac:dyDescent="0.3">
      <c r="A55" s="123" t="s">
        <v>153</v>
      </c>
      <c r="B55" s="124"/>
      <c r="C55" s="124"/>
      <c r="D55" s="125"/>
      <c r="E55" s="9"/>
      <c r="F55" s="150"/>
      <c r="G55" s="151"/>
    </row>
    <row r="56" spans="1:7" x14ac:dyDescent="0.25">
      <c r="A56" s="23" t="s">
        <v>138</v>
      </c>
      <c r="B56" s="32" t="s">
        <v>175</v>
      </c>
      <c r="C56" s="21" t="str">
        <f>(($G$1*2)&amp;"g")</f>
        <v>0g</v>
      </c>
      <c r="D56" s="97" t="s">
        <v>176</v>
      </c>
      <c r="F56" s="121" t="str">
        <f>($G$1*2)&amp;"g  "</f>
        <v xml:space="preserve">0g  </v>
      </c>
      <c r="G56" s="122"/>
    </row>
    <row r="57" spans="1:7" x14ac:dyDescent="0.25">
      <c r="A57" s="24" t="s">
        <v>137</v>
      </c>
      <c r="B57" s="19" t="s">
        <v>184</v>
      </c>
      <c r="C57" s="20" t="str">
        <f>($G$1*2)&amp;" ml"</f>
        <v>0 ml</v>
      </c>
      <c r="D57" s="101" t="s">
        <v>177</v>
      </c>
      <c r="F57" s="121" t="str">
        <f>($G$1*3)&amp;" ml"</f>
        <v>0 ml</v>
      </c>
      <c r="G57" s="122"/>
    </row>
    <row r="58" spans="1:7" ht="15.75" thickBot="1" x14ac:dyDescent="0.3">
      <c r="A58" s="3"/>
      <c r="B58" s="4"/>
      <c r="C58" s="4"/>
      <c r="D58" s="5"/>
      <c r="F58" s="136"/>
      <c r="G58" s="137"/>
    </row>
    <row r="59" spans="1:7" ht="15.75" thickBot="1" x14ac:dyDescent="0.3">
      <c r="F59" s="120"/>
    </row>
    <row r="60" spans="1:7" ht="18" thickBot="1" x14ac:dyDescent="0.3">
      <c r="A60" s="133" t="s">
        <v>107</v>
      </c>
      <c r="B60" s="134"/>
      <c r="C60" s="135"/>
      <c r="D60" s="114" t="s">
        <v>13</v>
      </c>
    </row>
    <row r="61" spans="1:7" x14ac:dyDescent="0.25">
      <c r="A61" s="23" t="s">
        <v>154</v>
      </c>
      <c r="B61" s="32"/>
      <c r="C61" s="21" t="s">
        <v>9</v>
      </c>
      <c r="D61" s="13" t="str">
        <f>($G$1*0.12)&amp;"kg"</f>
        <v>0kg</v>
      </c>
      <c r="F61" s="121"/>
      <c r="G61" s="122"/>
    </row>
    <row r="62" spans="1:7" x14ac:dyDescent="0.25">
      <c r="A62" s="24" t="s">
        <v>155</v>
      </c>
      <c r="B62" s="19"/>
      <c r="C62" s="20" t="s">
        <v>179</v>
      </c>
      <c r="D62" s="13" t="str">
        <f>($G$1*0.02)&amp;"kg"</f>
        <v>0kg</v>
      </c>
      <c r="F62" s="132"/>
      <c r="G62" s="132"/>
    </row>
    <row r="63" spans="1:7" x14ac:dyDescent="0.25">
      <c r="A63" s="24" t="s">
        <v>156</v>
      </c>
      <c r="B63" s="19"/>
      <c r="C63" s="20" t="s">
        <v>125</v>
      </c>
      <c r="D63" s="13" t="str">
        <f>($G$1*1)&amp;"g"</f>
        <v>0g</v>
      </c>
      <c r="F63" s="132"/>
      <c r="G63" s="132"/>
    </row>
    <row r="64" spans="1:7" x14ac:dyDescent="0.25">
      <c r="A64" s="24" t="s">
        <v>157</v>
      </c>
      <c r="B64" s="19"/>
      <c r="C64" s="20" t="s">
        <v>178</v>
      </c>
      <c r="D64" s="13" t="str">
        <f>($G$1*1)&amp;" Unidades"</f>
        <v>0 Unidades</v>
      </c>
    </row>
    <row r="65" spans="1:4" x14ac:dyDescent="0.25">
      <c r="A65" s="24" t="s">
        <v>158</v>
      </c>
      <c r="B65" s="19"/>
      <c r="C65" s="20" t="s">
        <v>10</v>
      </c>
      <c r="D65" s="13" t="str">
        <f>($G$1*0.04)&amp;"kg"</f>
        <v>0kg</v>
      </c>
    </row>
    <row r="66" spans="1:4" x14ac:dyDescent="0.25">
      <c r="A66" s="24" t="s">
        <v>159</v>
      </c>
      <c r="B66" s="19"/>
      <c r="C66" s="20" t="s">
        <v>179</v>
      </c>
      <c r="D66" s="13" t="str">
        <f>($G$1*0.02)&amp;"kg"</f>
        <v>0kg</v>
      </c>
    </row>
    <row r="67" spans="1:4" x14ac:dyDescent="0.25">
      <c r="A67" s="89" t="s">
        <v>160</v>
      </c>
      <c r="B67" s="90"/>
      <c r="C67" s="20" t="s">
        <v>11</v>
      </c>
      <c r="D67" s="13" t="str">
        <f>($G$1*3)&amp;"g"</f>
        <v>0g</v>
      </c>
    </row>
    <row r="68" spans="1:4" x14ac:dyDescent="0.25">
      <c r="A68" s="89" t="s">
        <v>161</v>
      </c>
      <c r="B68" s="90"/>
      <c r="C68" s="95" t="s">
        <v>125</v>
      </c>
      <c r="D68" s="13" t="str">
        <f>($G$1*1)&amp;"g"</f>
        <v>0g</v>
      </c>
    </row>
    <row r="69" spans="1:4" x14ac:dyDescent="0.25">
      <c r="A69" s="24" t="s">
        <v>162</v>
      </c>
      <c r="B69" s="111"/>
      <c r="C69" s="46" t="s">
        <v>180</v>
      </c>
      <c r="D69" s="13" t="str">
        <f>($G$1*30)/1000&amp;"kg"</f>
        <v>0kg</v>
      </c>
    </row>
    <row r="70" spans="1:4" x14ac:dyDescent="0.25">
      <c r="A70" s="115" t="s">
        <v>163</v>
      </c>
      <c r="B70" s="111"/>
      <c r="C70" s="119" t="s">
        <v>179</v>
      </c>
      <c r="D70" s="13" t="str">
        <f>($G$1*0.02)&amp;"kg"</f>
        <v>0kg</v>
      </c>
    </row>
    <row r="71" spans="1:4" x14ac:dyDescent="0.25">
      <c r="A71" s="115" t="s">
        <v>164</v>
      </c>
      <c r="B71" s="116"/>
      <c r="C71" s="118" t="s">
        <v>181</v>
      </c>
      <c r="D71" s="13" t="str">
        <f>($G$1*35)/1000&amp;"kg"</f>
        <v>0kg</v>
      </c>
    </row>
    <row r="72" spans="1:4" x14ac:dyDescent="0.25">
      <c r="A72" s="115" t="s">
        <v>165</v>
      </c>
      <c r="B72" s="117"/>
      <c r="C72" s="119" t="s">
        <v>178</v>
      </c>
      <c r="D72" s="13" t="str">
        <f>($G$1) &amp;" Unidades"</f>
        <v xml:space="preserve"> Unidades</v>
      </c>
    </row>
    <row r="73" spans="1:4" x14ac:dyDescent="0.25">
      <c r="A73" s="115" t="s">
        <v>166</v>
      </c>
      <c r="B73" s="117"/>
      <c r="C73" s="119" t="s">
        <v>182</v>
      </c>
      <c r="D73" s="13" t="str">
        <f>($G$1*0.11)&amp;"kg"</f>
        <v>0kg</v>
      </c>
    </row>
    <row r="74" spans="1:4" x14ac:dyDescent="0.25">
      <c r="A74" s="115" t="s">
        <v>167</v>
      </c>
      <c r="B74" s="117"/>
      <c r="C74" s="119" t="s">
        <v>9</v>
      </c>
      <c r="D74" s="13" t="str">
        <f>($G$1*0.12)&amp;"kg"</f>
        <v>0kg</v>
      </c>
    </row>
    <row r="75" spans="1:4" x14ac:dyDescent="0.25">
      <c r="A75" s="115" t="s">
        <v>117</v>
      </c>
      <c r="B75" s="117"/>
      <c r="C75" s="119" t="s">
        <v>178</v>
      </c>
      <c r="D75" s="13" t="str">
        <f>($G$1)&amp;" Unidades"</f>
        <v xml:space="preserve"> Unidades</v>
      </c>
    </row>
    <row r="76" spans="1:4" x14ac:dyDescent="0.25">
      <c r="A76" s="115" t="s">
        <v>168</v>
      </c>
      <c r="B76" s="117"/>
      <c r="C76" s="119" t="s">
        <v>180</v>
      </c>
      <c r="D76" s="13" t="str">
        <f>($G$1*0.03)&amp;"kg"</f>
        <v>0kg</v>
      </c>
    </row>
    <row r="77" spans="1:4" x14ac:dyDescent="0.25">
      <c r="A77" s="115" t="s">
        <v>169</v>
      </c>
      <c r="B77" s="117"/>
      <c r="C77" s="119" t="s">
        <v>125</v>
      </c>
      <c r="D77" s="13" t="str">
        <f>($G$1*1)&amp;"g"</f>
        <v>0g</v>
      </c>
    </row>
    <row r="78" spans="1:4" x14ac:dyDescent="0.25">
      <c r="A78" s="115" t="s">
        <v>170</v>
      </c>
      <c r="B78" s="117"/>
      <c r="C78" s="119" t="s">
        <v>183</v>
      </c>
      <c r="D78" s="13" t="str">
        <f>($G$1*0.025)&amp;"kg"</f>
        <v>0kg</v>
      </c>
    </row>
  </sheetData>
  <sheetProtection algorithmName="SHA-512" hashValue="XhMGpSYsTuT2cIove8erJBQNfSD5V/nCW8HrbNFx8+aDXWgtikb03AzOsxQHV3Kb/EauH+dHgfq2arf/zToFEw==" saltValue="llcpxeaTPOmTQCcXFZN8yQ==" spinCount="100000" sheet="1" objects="1" scenarios="1"/>
  <mergeCells count="73">
    <mergeCell ref="F55:G55"/>
    <mergeCell ref="F11:G11"/>
    <mergeCell ref="G1:G2"/>
    <mergeCell ref="A4:D4"/>
    <mergeCell ref="A10:D10"/>
    <mergeCell ref="A21:D21"/>
    <mergeCell ref="A13:D13"/>
    <mergeCell ref="F32:G32"/>
    <mergeCell ref="F38:G38"/>
    <mergeCell ref="F22:G22"/>
    <mergeCell ref="F23:G23"/>
    <mergeCell ref="F27:G27"/>
    <mergeCell ref="F28:G28"/>
    <mergeCell ref="F29:G29"/>
    <mergeCell ref="F30:G30"/>
    <mergeCell ref="F34:G34"/>
    <mergeCell ref="A26:D26"/>
    <mergeCell ref="F1:F2"/>
    <mergeCell ref="A33:D33"/>
    <mergeCell ref="F21:G21"/>
    <mergeCell ref="F26:G26"/>
    <mergeCell ref="F33:G33"/>
    <mergeCell ref="F31:G31"/>
    <mergeCell ref="A1:D2"/>
    <mergeCell ref="F6:G6"/>
    <mergeCell ref="F7:G7"/>
    <mergeCell ref="F8:G8"/>
    <mergeCell ref="F9:G9"/>
    <mergeCell ref="F4:G4"/>
    <mergeCell ref="F5:G5"/>
    <mergeCell ref="F10:G10"/>
    <mergeCell ref="F13:G13"/>
    <mergeCell ref="F12:G12"/>
    <mergeCell ref="F14:G14"/>
    <mergeCell ref="A15:D15"/>
    <mergeCell ref="F63:G63"/>
    <mergeCell ref="A60:C60"/>
    <mergeCell ref="F61:G61"/>
    <mergeCell ref="F62:G62"/>
    <mergeCell ref="F58:G58"/>
    <mergeCell ref="F56:G56"/>
    <mergeCell ref="F57:G57"/>
    <mergeCell ref="A39:D39"/>
    <mergeCell ref="A45:D45"/>
    <mergeCell ref="D40:D44"/>
    <mergeCell ref="F48:G48"/>
    <mergeCell ref="F53:G53"/>
    <mergeCell ref="F54:G54"/>
    <mergeCell ref="F46:G46"/>
    <mergeCell ref="F52:G52"/>
    <mergeCell ref="F39:G39"/>
    <mergeCell ref="F40:G40"/>
    <mergeCell ref="F41:G41"/>
    <mergeCell ref="F42:G42"/>
    <mergeCell ref="F44:G44"/>
    <mergeCell ref="F43:G43"/>
    <mergeCell ref="F47:G47"/>
    <mergeCell ref="F35:G35"/>
    <mergeCell ref="A47:D47"/>
    <mergeCell ref="A55:D55"/>
    <mergeCell ref="F16:G16"/>
    <mergeCell ref="F17:G17"/>
    <mergeCell ref="F20:G20"/>
    <mergeCell ref="F24:G24"/>
    <mergeCell ref="F25:G25"/>
    <mergeCell ref="F18:G18"/>
    <mergeCell ref="F19:G19"/>
    <mergeCell ref="F49:G49"/>
    <mergeCell ref="F50:G50"/>
    <mergeCell ref="F51:G51"/>
    <mergeCell ref="C34:D34"/>
    <mergeCell ref="C35:D35"/>
    <mergeCell ref="F45:G45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H81"/>
  <sheetViews>
    <sheetView workbookViewId="0">
      <selection activeCell="G1" sqref="G1:G2"/>
    </sheetView>
  </sheetViews>
  <sheetFormatPr defaultRowHeight="15" x14ac:dyDescent="0.25"/>
  <cols>
    <col min="1" max="1" width="38.7109375" customWidth="1"/>
    <col min="2" max="2" width="21.85546875" customWidth="1"/>
    <col min="3" max="3" width="19.7109375" customWidth="1"/>
    <col min="4" max="4" width="34.5703125" customWidth="1"/>
    <col min="5" max="5" width="5.7109375" customWidth="1"/>
    <col min="6" max="6" width="48.5703125" customWidth="1"/>
    <col min="7" max="7" width="11" customWidth="1"/>
  </cols>
  <sheetData>
    <row r="1" spans="1:8" ht="15.75" customHeight="1" x14ac:dyDescent="0.25">
      <c r="A1" s="165" t="s">
        <v>123</v>
      </c>
      <c r="B1" s="166"/>
      <c r="C1" s="166"/>
      <c r="D1" s="167"/>
      <c r="E1" s="88"/>
      <c r="F1" s="171" t="s">
        <v>83</v>
      </c>
      <c r="G1" s="152"/>
    </row>
    <row r="2" spans="1:8" ht="27" customHeight="1" thickBot="1" x14ac:dyDescent="0.3">
      <c r="A2" s="168"/>
      <c r="B2" s="169"/>
      <c r="C2" s="169"/>
      <c r="D2" s="170"/>
      <c r="E2" s="88"/>
      <c r="F2" s="172"/>
      <c r="G2" s="153"/>
    </row>
    <row r="3" spans="1:8" ht="27" customHeight="1" thickTop="1" thickBot="1" x14ac:dyDescent="0.3">
      <c r="A3" s="47" t="s">
        <v>81</v>
      </c>
      <c r="B3" s="48" t="s">
        <v>80</v>
      </c>
      <c r="C3" s="49" t="s">
        <v>90</v>
      </c>
      <c r="D3" s="50" t="s">
        <v>82</v>
      </c>
      <c r="E3" s="88"/>
      <c r="F3" s="84"/>
      <c r="G3" s="85"/>
    </row>
    <row r="4" spans="1:8" ht="24.95" customHeight="1" thickBot="1" x14ac:dyDescent="0.3">
      <c r="A4" s="156" t="s">
        <v>0</v>
      </c>
      <c r="B4" s="157"/>
      <c r="C4" s="157"/>
      <c r="D4" s="158"/>
      <c r="E4" s="88"/>
      <c r="F4" s="173"/>
      <c r="G4" s="174"/>
    </row>
    <row r="5" spans="1:8" ht="15.75" customHeight="1" x14ac:dyDescent="0.25">
      <c r="A5" s="23" t="s">
        <v>126</v>
      </c>
      <c r="B5" s="32" t="s">
        <v>48</v>
      </c>
      <c r="C5" s="14" t="str">
        <f>F5</f>
        <v>0kg</v>
      </c>
      <c r="D5" s="53" t="s">
        <v>44</v>
      </c>
      <c r="E5" s="8"/>
      <c r="F5" s="121" t="str">
        <f>($G$1*63)/1000&amp;"kg"</f>
        <v>0kg</v>
      </c>
      <c r="G5" s="122"/>
    </row>
    <row r="6" spans="1:8" x14ac:dyDescent="0.25">
      <c r="A6" s="57" t="s">
        <v>16</v>
      </c>
      <c r="B6" s="80" t="s">
        <v>48</v>
      </c>
      <c r="C6" s="58" t="str">
        <f>F6</f>
        <v>0kg</v>
      </c>
      <c r="D6" s="68" t="s">
        <v>44</v>
      </c>
      <c r="E6" s="88"/>
      <c r="F6" s="154" t="str">
        <f>($G$1*63)/1000&amp;"kg"</f>
        <v>0kg</v>
      </c>
      <c r="G6" s="155"/>
    </row>
    <row r="7" spans="1:8" x14ac:dyDescent="0.25">
      <c r="A7" s="54" t="s">
        <v>17</v>
      </c>
      <c r="B7" s="55" t="s">
        <v>92</v>
      </c>
      <c r="C7" s="56" t="str">
        <f>F7</f>
        <v>0kg</v>
      </c>
      <c r="D7" s="68" t="s">
        <v>84</v>
      </c>
      <c r="E7" s="88"/>
      <c r="F7" s="154" t="str">
        <f t="shared" ref="F7:F9" si="0">($G$1*63)/1000&amp;"kg"</f>
        <v>0kg</v>
      </c>
      <c r="G7" s="155"/>
      <c r="H7" s="42"/>
    </row>
    <row r="8" spans="1:8" x14ac:dyDescent="0.25">
      <c r="A8" s="57" t="s">
        <v>18</v>
      </c>
      <c r="B8" s="55" t="s">
        <v>93</v>
      </c>
      <c r="C8" s="58" t="str">
        <f>F8</f>
        <v>0kg</v>
      </c>
      <c r="D8" s="68" t="s">
        <v>84</v>
      </c>
      <c r="E8" s="88"/>
      <c r="F8" s="154" t="str">
        <f t="shared" si="0"/>
        <v>0kg</v>
      </c>
      <c r="G8" s="155"/>
    </row>
    <row r="9" spans="1:8" ht="15.75" thickBot="1" x14ac:dyDescent="0.3">
      <c r="A9" s="59" t="s">
        <v>15</v>
      </c>
      <c r="B9" s="60" t="s">
        <v>94</v>
      </c>
      <c r="C9" s="61" t="str">
        <f>F9</f>
        <v>0kg</v>
      </c>
      <c r="D9" s="73" t="s">
        <v>85</v>
      </c>
      <c r="E9" s="88"/>
      <c r="F9" s="154" t="str">
        <f t="shared" si="0"/>
        <v>0kg</v>
      </c>
      <c r="G9" s="155"/>
    </row>
    <row r="10" spans="1:8" ht="24.95" customHeight="1" thickBot="1" x14ac:dyDescent="0.3">
      <c r="A10" s="156" t="s">
        <v>20</v>
      </c>
      <c r="B10" s="157"/>
      <c r="C10" s="157"/>
      <c r="D10" s="158"/>
      <c r="E10" s="88"/>
      <c r="F10" s="159"/>
      <c r="G10" s="160"/>
    </row>
    <row r="11" spans="1:8" x14ac:dyDescent="0.25">
      <c r="A11" s="54" t="s">
        <v>19</v>
      </c>
      <c r="B11" s="55" t="s">
        <v>48</v>
      </c>
      <c r="C11" s="56" t="str">
        <f>F11</f>
        <v>0kg</v>
      </c>
      <c r="D11" s="94" t="s">
        <v>49</v>
      </c>
      <c r="E11" s="88"/>
      <c r="F11" s="154" t="str">
        <f>($G$1*63)/1000&amp;"kg"</f>
        <v>0kg</v>
      </c>
      <c r="G11" s="155"/>
    </row>
    <row r="12" spans="1:8" ht="15.75" thickBot="1" x14ac:dyDescent="0.3">
      <c r="A12" s="69" t="s">
        <v>146</v>
      </c>
      <c r="B12" s="63" t="s">
        <v>48</v>
      </c>
      <c r="C12" s="72" t="str">
        <f>F12</f>
        <v>0kg</v>
      </c>
      <c r="D12" s="93" t="s">
        <v>72</v>
      </c>
      <c r="E12" s="88"/>
      <c r="F12" s="154" t="str">
        <f>($G$1*63)/1000&amp;"kg"</f>
        <v>0kg</v>
      </c>
      <c r="G12" s="155"/>
    </row>
    <row r="13" spans="1:8" ht="24.95" customHeight="1" thickBot="1" x14ac:dyDescent="0.3">
      <c r="A13" s="156" t="s">
        <v>1</v>
      </c>
      <c r="B13" s="157"/>
      <c r="C13" s="157"/>
      <c r="D13" s="158"/>
      <c r="E13" s="88"/>
      <c r="F13" s="159"/>
      <c r="G13" s="160"/>
    </row>
    <row r="14" spans="1:8" ht="15.75" thickBot="1" x14ac:dyDescent="0.3">
      <c r="A14" s="62" t="s">
        <v>3</v>
      </c>
      <c r="B14" s="63" t="s">
        <v>86</v>
      </c>
      <c r="C14" s="61" t="str">
        <f>F14</f>
        <v>0Kg</v>
      </c>
      <c r="D14" s="64" t="s">
        <v>87</v>
      </c>
      <c r="E14" s="88"/>
      <c r="F14" s="154" t="str">
        <f>($G$1*38)/1000&amp;"Kg"</f>
        <v>0Kg</v>
      </c>
      <c r="G14" s="155"/>
    </row>
    <row r="15" spans="1:8" ht="24.95" customHeight="1" thickBot="1" x14ac:dyDescent="0.3">
      <c r="A15" s="156" t="s">
        <v>21</v>
      </c>
      <c r="B15" s="157"/>
      <c r="C15" s="157"/>
      <c r="D15" s="158"/>
      <c r="E15" s="88"/>
      <c r="F15" s="86"/>
      <c r="G15" s="87"/>
    </row>
    <row r="16" spans="1:8" x14ac:dyDescent="0.25">
      <c r="A16" s="51" t="s">
        <v>22</v>
      </c>
      <c r="B16" s="52" t="s">
        <v>88</v>
      </c>
      <c r="C16" s="65" t="str">
        <f>F16</f>
        <v>0Kg</v>
      </c>
      <c r="D16" s="66" t="s">
        <v>108</v>
      </c>
      <c r="E16" s="88"/>
      <c r="F16" s="154" t="str">
        <f>($G$1*32)/1000&amp;"Kg"</f>
        <v>0Kg</v>
      </c>
      <c r="G16" s="155"/>
    </row>
    <row r="17" spans="1:7" x14ac:dyDescent="0.25">
      <c r="A17" s="54" t="s">
        <v>23</v>
      </c>
      <c r="B17" s="55" t="s">
        <v>95</v>
      </c>
      <c r="C17" s="67" t="str">
        <f>F17</f>
        <v>0Kg</v>
      </c>
      <c r="D17" s="68" t="s">
        <v>89</v>
      </c>
      <c r="E17" s="88"/>
      <c r="F17" s="154" t="str">
        <f>($G$1*32)/1000&amp;"Kg"</f>
        <v>0Kg</v>
      </c>
      <c r="G17" s="155"/>
    </row>
    <row r="18" spans="1:7" x14ac:dyDescent="0.25">
      <c r="A18" s="54" t="s">
        <v>24</v>
      </c>
      <c r="B18" s="55" t="s">
        <v>88</v>
      </c>
      <c r="C18" s="67" t="str">
        <f>F18</f>
        <v>0Kg</v>
      </c>
      <c r="D18" s="71" t="s">
        <v>108</v>
      </c>
      <c r="E18" s="88"/>
      <c r="F18" s="154" t="str">
        <f>($G$1*32)/1000&amp;"Kg"</f>
        <v>0Kg</v>
      </c>
      <c r="G18" s="155"/>
    </row>
    <row r="19" spans="1:7" x14ac:dyDescent="0.25">
      <c r="A19" s="24" t="s">
        <v>128</v>
      </c>
      <c r="B19" s="19" t="s">
        <v>141</v>
      </c>
      <c r="C19" s="20" t="str">
        <f>F19</f>
        <v>0Kg</v>
      </c>
      <c r="D19" s="71" t="s">
        <v>108</v>
      </c>
      <c r="E19" s="8"/>
      <c r="F19" s="121" t="str">
        <f>($G$1*20)/1000&amp;"Kg"</f>
        <v>0Kg</v>
      </c>
      <c r="G19" s="122"/>
    </row>
    <row r="20" spans="1:7" ht="15.75" thickBot="1" x14ac:dyDescent="0.3">
      <c r="A20" s="27" t="s">
        <v>129</v>
      </c>
      <c r="B20" s="19" t="s">
        <v>142</v>
      </c>
      <c r="C20" s="31" t="str">
        <f>F20</f>
        <v>0Kg</v>
      </c>
      <c r="D20" s="96" t="s">
        <v>66</v>
      </c>
      <c r="E20" s="8"/>
      <c r="F20" s="121" t="str">
        <f>($G$1*25)/1000&amp;"Kg"</f>
        <v>0Kg</v>
      </c>
      <c r="G20" s="122"/>
    </row>
    <row r="21" spans="1:7" ht="24.95" customHeight="1" thickBot="1" x14ac:dyDescent="0.3">
      <c r="A21" s="156" t="s">
        <v>2</v>
      </c>
      <c r="B21" s="157"/>
      <c r="C21" s="157"/>
      <c r="D21" s="158"/>
      <c r="E21" s="88"/>
      <c r="F21" s="159"/>
      <c r="G21" s="160"/>
    </row>
    <row r="22" spans="1:7" x14ac:dyDescent="0.25">
      <c r="A22" s="54" t="s">
        <v>25</v>
      </c>
      <c r="B22" s="55" t="s">
        <v>57</v>
      </c>
      <c r="C22" s="56" t="e">
        <f>#REF!</f>
        <v>#REF!</v>
      </c>
      <c r="D22" s="71" t="s">
        <v>52</v>
      </c>
      <c r="E22" s="88"/>
      <c r="F22" s="154" t="str">
        <f>($G$1*10)/1000&amp;"kg"</f>
        <v>0kg</v>
      </c>
      <c r="G22" s="155"/>
    </row>
    <row r="23" spans="1:7" x14ac:dyDescent="0.25">
      <c r="A23" s="54" t="s">
        <v>26</v>
      </c>
      <c r="B23" s="55" t="s">
        <v>86</v>
      </c>
      <c r="C23" s="56" t="str">
        <f>F23</f>
        <v>0kg</v>
      </c>
      <c r="D23" s="71" t="s">
        <v>109</v>
      </c>
      <c r="E23" s="88"/>
      <c r="F23" s="154" t="str">
        <f>($G$1*38)/1000&amp;"kg"</f>
        <v>0kg</v>
      </c>
      <c r="G23" s="155"/>
    </row>
    <row r="24" spans="1:7" x14ac:dyDescent="0.25">
      <c r="A24" s="54" t="s">
        <v>27</v>
      </c>
      <c r="B24" s="55" t="s">
        <v>58</v>
      </c>
      <c r="C24" s="56" t="str">
        <f>F24</f>
        <v>0kg</v>
      </c>
      <c r="D24" s="71" t="s">
        <v>66</v>
      </c>
      <c r="E24" s="88"/>
      <c r="F24" s="154" t="str">
        <f>($G$1*25)/1000&amp;"kg"</f>
        <v>0kg</v>
      </c>
      <c r="G24" s="155"/>
    </row>
    <row r="25" spans="1:7" x14ac:dyDescent="0.25">
      <c r="A25" s="54" t="s">
        <v>28</v>
      </c>
      <c r="B25" s="55" t="s">
        <v>58</v>
      </c>
      <c r="C25" s="67" t="str">
        <f>F25</f>
        <v>0kg</v>
      </c>
      <c r="D25" s="71" t="s">
        <v>63</v>
      </c>
      <c r="E25" s="88"/>
      <c r="F25" s="154" t="str">
        <f>($G$1*25)/1000&amp;"kg"</f>
        <v>0kg</v>
      </c>
      <c r="G25" s="155"/>
    </row>
    <row r="26" spans="1:7" ht="15.75" thickBot="1" x14ac:dyDescent="0.3">
      <c r="A26" s="69" t="s">
        <v>29</v>
      </c>
      <c r="B26" s="63" t="s">
        <v>120</v>
      </c>
      <c r="C26" s="72" t="str">
        <f>F26</f>
        <v>0kg</v>
      </c>
      <c r="D26" s="73" t="s">
        <v>66</v>
      </c>
      <c r="E26" s="88"/>
      <c r="F26" s="154" t="str">
        <f>($G$1*24.7)/1000&amp;"kg"</f>
        <v>0kg</v>
      </c>
      <c r="G26" s="155"/>
    </row>
    <row r="27" spans="1:7" ht="24.95" customHeight="1" thickBot="1" x14ac:dyDescent="0.3">
      <c r="A27" s="156" t="s">
        <v>30</v>
      </c>
      <c r="B27" s="157"/>
      <c r="C27" s="157"/>
      <c r="D27" s="158"/>
      <c r="E27" s="88"/>
      <c r="F27" s="159"/>
      <c r="G27" s="160"/>
    </row>
    <row r="28" spans="1:7" x14ac:dyDescent="0.25">
      <c r="A28" s="54" t="s">
        <v>8</v>
      </c>
      <c r="B28" s="55" t="s">
        <v>59</v>
      </c>
      <c r="C28" s="74" t="str">
        <f>$G$1&amp;" Unidades"</f>
        <v xml:space="preserve"> Unidades</v>
      </c>
      <c r="D28" s="75" t="s">
        <v>59</v>
      </c>
      <c r="E28" s="88"/>
      <c r="F28" s="154" t="str">
        <f>$G$1 &amp; " Unidades"</f>
        <v xml:space="preserve"> Unidades</v>
      </c>
      <c r="G28" s="155"/>
    </row>
    <row r="29" spans="1:7" x14ac:dyDescent="0.25">
      <c r="A29" s="54" t="s">
        <v>31</v>
      </c>
      <c r="B29" s="55" t="s">
        <v>121</v>
      </c>
      <c r="C29" s="74" t="str">
        <f>F29</f>
        <v>0kg</v>
      </c>
      <c r="D29" s="71" t="s">
        <v>110</v>
      </c>
      <c r="E29" s="88"/>
      <c r="F29" s="154" t="str">
        <f>($G$1*31.15)/1000&amp;"kg"</f>
        <v>0kg</v>
      </c>
      <c r="G29" s="155"/>
    </row>
    <row r="30" spans="1:7" x14ac:dyDescent="0.25">
      <c r="A30" s="54" t="s">
        <v>32</v>
      </c>
      <c r="B30" s="55" t="s">
        <v>96</v>
      </c>
      <c r="C30" s="74" t="str">
        <f>F30</f>
        <v>0kg</v>
      </c>
      <c r="D30" s="75" t="s">
        <v>111</v>
      </c>
      <c r="E30" s="88"/>
      <c r="F30" s="154" t="str">
        <f>($G$1*33.38)/1000&amp;"kg"</f>
        <v>0kg</v>
      </c>
      <c r="G30" s="155"/>
    </row>
    <row r="31" spans="1:7" x14ac:dyDescent="0.25">
      <c r="A31" s="54" t="s">
        <v>33</v>
      </c>
      <c r="B31" s="55" t="s">
        <v>97</v>
      </c>
      <c r="C31" s="76" t="str">
        <f>F31</f>
        <v>0kg</v>
      </c>
      <c r="D31" s="71" t="s">
        <v>75</v>
      </c>
      <c r="E31" s="88"/>
      <c r="F31" s="154" t="str">
        <f>($G$1*34.63)/1000&amp;"kg"</f>
        <v>0kg</v>
      </c>
      <c r="G31" s="155"/>
    </row>
    <row r="32" spans="1:7" ht="15.75" thickBot="1" x14ac:dyDescent="0.3">
      <c r="A32" s="77" t="s">
        <v>186</v>
      </c>
      <c r="B32" s="78" t="s">
        <v>98</v>
      </c>
      <c r="C32" s="79" t="str">
        <f>F32</f>
        <v>0kg</v>
      </c>
      <c r="D32" s="70" t="s">
        <v>112</v>
      </c>
      <c r="E32" s="88"/>
      <c r="F32" s="154" t="str">
        <f>($G$1*32.5)/1000&amp;"kg"</f>
        <v>0kg</v>
      </c>
      <c r="G32" s="155"/>
    </row>
    <row r="33" spans="1:8" ht="15.75" thickBot="1" x14ac:dyDescent="0.3">
      <c r="A33" s="24" t="s">
        <v>124</v>
      </c>
      <c r="B33" s="19" t="s">
        <v>143</v>
      </c>
      <c r="C33" s="6" t="str">
        <f>F33</f>
        <v>0kg</v>
      </c>
      <c r="D33" s="34" t="s">
        <v>144</v>
      </c>
      <c r="E33" s="8"/>
      <c r="F33" s="121" t="str">
        <f>($G$1*17.5)/1000&amp;"kg"</f>
        <v>0kg</v>
      </c>
      <c r="G33" s="122"/>
    </row>
    <row r="34" spans="1:8" ht="24.95" customHeight="1" thickBot="1" x14ac:dyDescent="0.3">
      <c r="A34" s="156" t="s">
        <v>145</v>
      </c>
      <c r="B34" s="157"/>
      <c r="C34" s="157"/>
      <c r="D34" s="158"/>
      <c r="E34" s="88"/>
      <c r="F34" s="159"/>
      <c r="G34" s="160"/>
    </row>
    <row r="35" spans="1:8" x14ac:dyDescent="0.25">
      <c r="A35" s="51" t="s">
        <v>34</v>
      </c>
      <c r="B35" s="52" t="s">
        <v>99</v>
      </c>
      <c r="C35" s="154" t="str">
        <f>($G$1*30)/1000&amp;"kg"</f>
        <v>0kg</v>
      </c>
      <c r="D35" s="155"/>
      <c r="E35" s="88"/>
      <c r="F35" s="154" t="str">
        <f>($G$1*30)/1000&amp;"kg"&amp;" - CORRESPONDE - "&amp;6*$G$1&amp;" Unidades"</f>
        <v>0kg - CORRESPONDE - 0 Unidades</v>
      </c>
      <c r="G35" s="155"/>
      <c r="H35" s="1"/>
    </row>
    <row r="36" spans="1:8" ht="15.75" thickBot="1" x14ac:dyDescent="0.3">
      <c r="A36" s="59" t="s">
        <v>35</v>
      </c>
      <c r="B36" s="60" t="s">
        <v>99</v>
      </c>
      <c r="C36" s="154" t="str">
        <f>($G$1*30)/1000&amp;"kg"</f>
        <v>0kg</v>
      </c>
      <c r="D36" s="155"/>
      <c r="E36" s="88"/>
      <c r="F36" s="154" t="str">
        <f>($G$1*30)/1000&amp;"kg"&amp;" - CORRESPONDE - "&amp;6*$G$1&amp;" Unidades"</f>
        <v>0kg - CORRESPONDE - 0 Unidades</v>
      </c>
      <c r="G36" s="155"/>
      <c r="H36" s="1"/>
    </row>
    <row r="37" spans="1:8" x14ac:dyDescent="0.25">
      <c r="A37" s="51" t="s">
        <v>42</v>
      </c>
      <c r="B37" s="52" t="s">
        <v>79</v>
      </c>
      <c r="C37" s="65" t="str">
        <f>($G$1*60)/1000&amp;" kg"</f>
        <v>0 kg</v>
      </c>
      <c r="D37" s="103" t="s">
        <v>147</v>
      </c>
      <c r="E37" s="88"/>
      <c r="F37" s="154" t="str">
        <f>($G$1*60)/1000&amp;"kg - CORRESPONDE - "&amp;3*$G$1&amp;" Unidades"</f>
        <v>0kg - CORRESPONDE - 0 Unidades</v>
      </c>
      <c r="G37" s="155"/>
    </row>
    <row r="38" spans="1:8" x14ac:dyDescent="0.25">
      <c r="A38" s="54" t="s">
        <v>7</v>
      </c>
      <c r="B38" s="55" t="s">
        <v>79</v>
      </c>
      <c r="C38" s="67" t="str">
        <f>($G$1*50)/1000&amp;" kg"</f>
        <v>0 kg</v>
      </c>
      <c r="D38" s="104" t="s">
        <v>78</v>
      </c>
      <c r="E38" s="88"/>
      <c r="F38" s="154" t="str">
        <f>($G$1*50)/1000&amp;"kg - CORRESPONDE - "&amp;2*$G$1&amp;" fatias"</f>
        <v>0kg - CORRESPONDE - 0 fatias</v>
      </c>
      <c r="G38" s="155"/>
    </row>
    <row r="39" spans="1:8" ht="15.75" thickBot="1" x14ac:dyDescent="0.3">
      <c r="A39" s="26" t="s">
        <v>134</v>
      </c>
      <c r="B39" s="91" t="s">
        <v>135</v>
      </c>
      <c r="C39" s="161" t="str">
        <f>F39</f>
        <v>0kg - CORRESPONDE - 0 Unidades</v>
      </c>
      <c r="D39" s="162"/>
      <c r="E39" s="8"/>
      <c r="F39" s="121" t="str">
        <f>($G$1*20)/1000&amp;"kg"&amp;" - CORRESPONDE - "&amp;2*$G$1&amp;" Unidades"</f>
        <v>0kg - CORRESPONDE - 0 Unidades</v>
      </c>
      <c r="G39" s="122"/>
      <c r="H39" s="1"/>
    </row>
    <row r="40" spans="1:8" ht="24.95" customHeight="1" thickBot="1" x14ac:dyDescent="0.3">
      <c r="A40" s="156" t="s">
        <v>37</v>
      </c>
      <c r="B40" s="157"/>
      <c r="C40" s="157"/>
      <c r="D40" s="158"/>
      <c r="E40" s="88"/>
      <c r="F40" s="154"/>
      <c r="G40" s="155"/>
      <c r="H40" s="1"/>
    </row>
    <row r="41" spans="1:8" x14ac:dyDescent="0.25">
      <c r="A41" s="57" t="s">
        <v>36</v>
      </c>
      <c r="B41" s="80" t="s">
        <v>51</v>
      </c>
      <c r="C41" s="81" t="str">
        <f>($G$1*30)/1000&amp;"kg"</f>
        <v>0kg</v>
      </c>
      <c r="D41" s="163" t="s">
        <v>64</v>
      </c>
      <c r="E41" s="88"/>
      <c r="F41" s="154" t="str">
        <f>($G$1*30)/1000&amp;"kg"&amp;" - CORRESPONDE - "&amp;1*$G$1&amp;" Pacotes"</f>
        <v>0kg - CORRESPONDE - 0 Pacotes</v>
      </c>
      <c r="G41" s="155"/>
      <c r="H41" s="1"/>
    </row>
    <row r="42" spans="1:8" x14ac:dyDescent="0.25">
      <c r="A42" s="57" t="s">
        <v>38</v>
      </c>
      <c r="B42" s="80" t="s">
        <v>51</v>
      </c>
      <c r="C42" s="81" t="str">
        <f>($G$1*30)/1000&amp;"kg"</f>
        <v>0kg</v>
      </c>
      <c r="D42" s="164"/>
      <c r="E42" s="88"/>
      <c r="F42" s="154" t="str">
        <f>($G$1*30)/1000&amp;"kg"&amp;" - CORRESPONDE - "&amp;1*$G$1&amp;" Pacotes"</f>
        <v>0kg - CORRESPONDE - 0 Pacotes</v>
      </c>
      <c r="G42" s="155"/>
    </row>
    <row r="43" spans="1:8" x14ac:dyDescent="0.25">
      <c r="A43" s="57" t="s">
        <v>148</v>
      </c>
      <c r="B43" s="80"/>
      <c r="C43" s="81"/>
      <c r="D43" s="164"/>
      <c r="E43" s="88"/>
      <c r="F43" s="107"/>
      <c r="G43" s="108"/>
    </row>
    <row r="44" spans="1:8" x14ac:dyDescent="0.25">
      <c r="A44" s="54" t="s">
        <v>149</v>
      </c>
      <c r="B44" s="55" t="s">
        <v>58</v>
      </c>
      <c r="C44" s="81" t="str">
        <f>($G$1*25)/1000&amp;"kg"</f>
        <v>0kg</v>
      </c>
      <c r="D44" s="164"/>
      <c r="E44" s="88"/>
      <c r="F44" s="154" t="str">
        <f>($G$1*25)/1000&amp;"kg"&amp;" - CORRESPONDE - "&amp;1*$G$1&amp;" Pacotes"</f>
        <v>0kg - CORRESPONDE - 0 Pacotes</v>
      </c>
      <c r="G44" s="155"/>
    </row>
    <row r="45" spans="1:8" ht="15.75" thickBot="1" x14ac:dyDescent="0.3">
      <c r="A45" s="57" t="s">
        <v>5</v>
      </c>
      <c r="B45" s="80" t="s">
        <v>63</v>
      </c>
      <c r="C45" s="81" t="str">
        <f>($G$1*40)/1000&amp;"kg"</f>
        <v>0kg</v>
      </c>
      <c r="D45" s="164"/>
      <c r="E45" s="88"/>
      <c r="F45" s="154" t="str">
        <f>($G$1*40)/1000&amp;"kg"&amp;" - CORRESPONDE - "&amp;1*$G$1&amp;" Pacotes"</f>
        <v>0kg - CORRESPONDE - 0 Pacotes</v>
      </c>
      <c r="G45" s="155"/>
    </row>
    <row r="46" spans="1:8" ht="24.95" customHeight="1" thickBot="1" x14ac:dyDescent="0.3">
      <c r="A46" s="156" t="s">
        <v>39</v>
      </c>
      <c r="B46" s="157"/>
      <c r="C46" s="157"/>
      <c r="D46" s="158"/>
      <c r="E46" s="88"/>
      <c r="F46" s="154"/>
      <c r="G46" s="155"/>
    </row>
    <row r="47" spans="1:8" x14ac:dyDescent="0.25">
      <c r="A47" s="54" t="s">
        <v>40</v>
      </c>
      <c r="B47" s="55" t="s">
        <v>62</v>
      </c>
      <c r="C47" s="81" t="str">
        <f>($G$1*20)/1000&amp;"kg"</f>
        <v>0kg</v>
      </c>
      <c r="D47" s="71" t="s">
        <v>52</v>
      </c>
      <c r="E47" s="88"/>
      <c r="F47" s="154" t="str">
        <f>($G$1*20)/1000&amp;"kg"</f>
        <v>0kg</v>
      </c>
      <c r="G47" s="155"/>
    </row>
    <row r="48" spans="1:8" ht="15.75" thickBot="1" x14ac:dyDescent="0.3">
      <c r="A48" s="57" t="s">
        <v>4</v>
      </c>
      <c r="B48" s="55" t="s">
        <v>62</v>
      </c>
      <c r="C48" s="81" t="str">
        <f>($G$1*20)/1000&amp;"kg"</f>
        <v>0kg</v>
      </c>
      <c r="D48" s="102" t="s">
        <v>66</v>
      </c>
      <c r="E48" s="88"/>
      <c r="F48" s="154" t="str">
        <f>($G$1*20)/1000&amp;"kg"</f>
        <v>0kg</v>
      </c>
      <c r="G48" s="155"/>
    </row>
    <row r="49" spans="1:7" ht="24.95" customHeight="1" thickBot="1" x14ac:dyDescent="0.3">
      <c r="A49" s="156" t="s">
        <v>6</v>
      </c>
      <c r="B49" s="157"/>
      <c r="C49" s="157"/>
      <c r="D49" s="158"/>
      <c r="E49" s="88"/>
      <c r="F49" s="159"/>
      <c r="G49" s="160"/>
    </row>
    <row r="50" spans="1:7" x14ac:dyDescent="0.25">
      <c r="A50" s="24" t="s">
        <v>150</v>
      </c>
      <c r="B50" s="19" t="s">
        <v>48</v>
      </c>
      <c r="C50" s="18" t="str">
        <f>($G$1*63)/1000&amp;"kg"</f>
        <v>0kg</v>
      </c>
      <c r="D50" s="10" t="s">
        <v>174</v>
      </c>
      <c r="E50" s="8"/>
      <c r="F50" s="121" t="str">
        <f>($G$1*63)/1000&amp;"kg"&amp;" - CORRESPONDE - "&amp;3*$G$1&amp;" Unidades"</f>
        <v>0kg - CORRESPONDE - 0 Unidades</v>
      </c>
      <c r="G50" s="122"/>
    </row>
    <row r="51" spans="1:7" x14ac:dyDescent="0.25">
      <c r="A51" s="24" t="s">
        <v>151</v>
      </c>
      <c r="B51" s="19" t="s">
        <v>48</v>
      </c>
      <c r="C51" s="18" t="str">
        <f>($G$1*50)/1000&amp;"kg"</f>
        <v>0kg</v>
      </c>
      <c r="D51" s="10" t="s">
        <v>69</v>
      </c>
      <c r="E51" s="8"/>
      <c r="F51" s="121" t="str">
        <f>($G$1*50)/1000&amp;"kg"</f>
        <v>0kg</v>
      </c>
      <c r="G51" s="122"/>
    </row>
    <row r="52" spans="1:7" ht="15.75" thickBot="1" x14ac:dyDescent="0.3">
      <c r="A52" s="24" t="s">
        <v>152</v>
      </c>
      <c r="B52" s="19" t="s">
        <v>48</v>
      </c>
      <c r="C52" s="18" t="str">
        <f>($G$1*50)/1000&amp;"kg"</f>
        <v>0kg</v>
      </c>
      <c r="D52" s="10" t="s">
        <v>106</v>
      </c>
      <c r="E52" s="8"/>
      <c r="F52" s="121" t="str">
        <f>($G$1*50)/1000&amp;"kg"</f>
        <v>0kg</v>
      </c>
      <c r="G52" s="122"/>
    </row>
    <row r="53" spans="1:7" x14ac:dyDescent="0.25">
      <c r="A53" s="51" t="s">
        <v>119</v>
      </c>
      <c r="B53" s="52" t="s">
        <v>100</v>
      </c>
      <c r="C53" s="82" t="str">
        <f>($G$1*82)/1000&amp;"kg"</f>
        <v>0kg</v>
      </c>
      <c r="D53" s="53" t="s">
        <v>104</v>
      </c>
      <c r="E53" s="88"/>
      <c r="F53" s="154" t="str">
        <f>($G$1*82)/1000&amp;"kg"</f>
        <v>0kg</v>
      </c>
      <c r="G53" s="155"/>
    </row>
    <row r="54" spans="1:7" x14ac:dyDescent="0.25">
      <c r="A54" s="54" t="s">
        <v>136</v>
      </c>
      <c r="B54" s="55" t="s">
        <v>48</v>
      </c>
      <c r="C54" s="83" t="str">
        <f>($G$1*63)/1000&amp;"kg"</f>
        <v>0kg</v>
      </c>
      <c r="D54" s="71" t="s">
        <v>66</v>
      </c>
      <c r="E54" s="88"/>
      <c r="F54" s="154" t="str">
        <f>($G$1*63)/1000&amp;"kg"</f>
        <v>0kg</v>
      </c>
      <c r="G54" s="155"/>
    </row>
    <row r="55" spans="1:7" x14ac:dyDescent="0.25">
      <c r="A55" s="54" t="s">
        <v>41</v>
      </c>
      <c r="B55" s="55" t="s">
        <v>101</v>
      </c>
      <c r="C55" s="83" t="str">
        <f>($G$1*63)/1000&amp;"kg"</f>
        <v>0kg</v>
      </c>
      <c r="D55" s="71" t="s">
        <v>50</v>
      </c>
      <c r="E55" s="88"/>
      <c r="F55" s="154" t="str">
        <f>($G$1*63)/1000&amp;"kg"</f>
        <v>0kg</v>
      </c>
      <c r="G55" s="155"/>
    </row>
    <row r="56" spans="1:7" x14ac:dyDescent="0.25">
      <c r="A56" s="54" t="s">
        <v>139</v>
      </c>
      <c r="B56" s="55" t="s">
        <v>102</v>
      </c>
      <c r="C56" s="83" t="str">
        <f>($G$1*63)/1000&amp;"kg"</f>
        <v>0kg</v>
      </c>
      <c r="D56" s="71" t="s">
        <v>50</v>
      </c>
      <c r="E56" s="88"/>
      <c r="F56" s="154" t="str">
        <f>($G$1*63)/1000&amp;"kg"</f>
        <v>0kg</v>
      </c>
      <c r="G56" s="155"/>
    </row>
    <row r="57" spans="1:7" ht="15.75" thickBot="1" x14ac:dyDescent="0.3">
      <c r="A57" s="54" t="s">
        <v>140</v>
      </c>
      <c r="B57" s="55" t="s">
        <v>103</v>
      </c>
      <c r="C57" s="81" t="str">
        <f>($G$1*63)/1000&amp;"kg"</f>
        <v>0kg</v>
      </c>
      <c r="D57" s="68" t="s">
        <v>105</v>
      </c>
      <c r="E57" s="88"/>
      <c r="F57" s="154" t="str">
        <f>($G$1*63)/1000&amp;"kg"</f>
        <v>0kg</v>
      </c>
      <c r="G57" s="155"/>
    </row>
    <row r="58" spans="1:7" s="7" customFormat="1" ht="24.95" customHeight="1" thickBot="1" x14ac:dyDescent="0.3">
      <c r="A58" s="123" t="s">
        <v>153</v>
      </c>
      <c r="B58" s="124"/>
      <c r="C58" s="124"/>
      <c r="D58" s="125"/>
      <c r="E58" s="9"/>
      <c r="F58" s="150"/>
      <c r="G58" s="151"/>
    </row>
    <row r="59" spans="1:7" x14ac:dyDescent="0.25">
      <c r="A59" s="23" t="s">
        <v>138</v>
      </c>
      <c r="B59" s="32" t="s">
        <v>175</v>
      </c>
      <c r="C59" s="21" t="str">
        <f>(($G$1*2)&amp;"g")</f>
        <v>0g</v>
      </c>
      <c r="D59" s="97" t="s">
        <v>176</v>
      </c>
      <c r="E59" s="8"/>
      <c r="F59" s="121" t="str">
        <f>($G$1*2)&amp;"g  "</f>
        <v xml:space="preserve">0g  </v>
      </c>
      <c r="G59" s="122"/>
    </row>
    <row r="60" spans="1:7" x14ac:dyDescent="0.25">
      <c r="A60" s="24" t="s">
        <v>137</v>
      </c>
      <c r="B60" s="19" t="s">
        <v>184</v>
      </c>
      <c r="C60" s="20" t="str">
        <f>($G$1*2)&amp;" ml"</f>
        <v>0 ml</v>
      </c>
      <c r="D60" s="101" t="s">
        <v>177</v>
      </c>
      <c r="E60" s="8"/>
      <c r="F60" s="121" t="str">
        <f>($G$1*2)&amp;" ml"</f>
        <v>0 ml</v>
      </c>
      <c r="G60" s="122"/>
    </row>
    <row r="61" spans="1:7" ht="15.75" thickBot="1" x14ac:dyDescent="0.3">
      <c r="A61" s="3"/>
      <c r="B61" s="4"/>
      <c r="C61" s="4"/>
      <c r="D61" s="5"/>
      <c r="E61" s="8"/>
      <c r="F61" s="136"/>
      <c r="G61" s="137"/>
    </row>
    <row r="62" spans="1:7" ht="15.75" thickBot="1" x14ac:dyDescent="0.3">
      <c r="E62" s="8"/>
      <c r="F62" s="2"/>
    </row>
    <row r="63" spans="1:7" ht="18" thickBot="1" x14ac:dyDescent="0.3">
      <c r="A63" s="133" t="s">
        <v>107</v>
      </c>
      <c r="B63" s="134"/>
      <c r="C63" s="135"/>
      <c r="D63" s="114" t="s">
        <v>13</v>
      </c>
      <c r="E63" s="8"/>
      <c r="F63" s="2"/>
    </row>
    <row r="64" spans="1:7" x14ac:dyDescent="0.25">
      <c r="A64" s="23" t="s">
        <v>154</v>
      </c>
      <c r="B64" s="32"/>
      <c r="C64" s="21" t="s">
        <v>9</v>
      </c>
      <c r="D64" s="13" t="str">
        <f>($G$1*0.12)&amp;"kg"</f>
        <v>0kg</v>
      </c>
      <c r="E64" s="8"/>
      <c r="F64" s="121"/>
      <c r="G64" s="122"/>
    </row>
    <row r="65" spans="1:7" x14ac:dyDescent="0.25">
      <c r="A65" s="24" t="s">
        <v>155</v>
      </c>
      <c r="B65" s="19"/>
      <c r="C65" s="20" t="s">
        <v>179</v>
      </c>
      <c r="D65" s="13" t="str">
        <f>($G$1*0.02)&amp;"kg"</f>
        <v>0kg</v>
      </c>
      <c r="E65" s="8"/>
      <c r="F65" s="132"/>
      <c r="G65" s="132"/>
    </row>
    <row r="66" spans="1:7" x14ac:dyDescent="0.25">
      <c r="A66" s="24" t="s">
        <v>156</v>
      </c>
      <c r="B66" s="19"/>
      <c r="C66" s="20" t="s">
        <v>125</v>
      </c>
      <c r="D66" s="13" t="str">
        <f>($G$1*1)&amp;"g"</f>
        <v>0g</v>
      </c>
      <c r="E66" s="8"/>
      <c r="F66" s="132"/>
      <c r="G66" s="132"/>
    </row>
    <row r="67" spans="1:7" x14ac:dyDescent="0.25">
      <c r="A67" s="24" t="s">
        <v>157</v>
      </c>
      <c r="B67" s="19"/>
      <c r="C67" s="20" t="s">
        <v>178</v>
      </c>
      <c r="D67" s="13" t="str">
        <f>($G$1*1)&amp;" Unidades"</f>
        <v>0 Unidades</v>
      </c>
      <c r="E67" s="8"/>
      <c r="F67" s="2"/>
    </row>
    <row r="68" spans="1:7" x14ac:dyDescent="0.25">
      <c r="A68" s="24" t="s">
        <v>158</v>
      </c>
      <c r="B68" s="19"/>
      <c r="C68" s="20" t="s">
        <v>10</v>
      </c>
      <c r="D68" s="13" t="str">
        <f>($G$1*0.04)&amp;"kg"</f>
        <v>0kg</v>
      </c>
      <c r="E68" s="8"/>
      <c r="F68" s="2"/>
    </row>
    <row r="69" spans="1:7" x14ac:dyDescent="0.25">
      <c r="A69" s="24" t="s">
        <v>159</v>
      </c>
      <c r="B69" s="19"/>
      <c r="C69" s="20" t="s">
        <v>179</v>
      </c>
      <c r="D69" s="13" t="str">
        <f>($G$1*0.02)&amp;"kg"</f>
        <v>0kg</v>
      </c>
      <c r="E69" s="8"/>
      <c r="F69" s="2"/>
    </row>
    <row r="70" spans="1:7" x14ac:dyDescent="0.25">
      <c r="A70" s="89" t="s">
        <v>160</v>
      </c>
      <c r="B70" s="90"/>
      <c r="C70" s="20" t="s">
        <v>11</v>
      </c>
      <c r="D70" s="13" t="str">
        <f>($G$1*3)&amp;"g"</f>
        <v>0g</v>
      </c>
      <c r="E70" s="8"/>
      <c r="F70" s="2"/>
    </row>
    <row r="71" spans="1:7" x14ac:dyDescent="0.25">
      <c r="A71" s="89" t="s">
        <v>161</v>
      </c>
      <c r="B71" s="90"/>
      <c r="C71" s="95" t="s">
        <v>125</v>
      </c>
      <c r="D71" s="13" t="str">
        <f>($G$1*1)&amp;"g"</f>
        <v>0g</v>
      </c>
      <c r="E71" s="8"/>
      <c r="F71" s="2"/>
    </row>
    <row r="72" spans="1:7" x14ac:dyDescent="0.25">
      <c r="A72" s="24" t="s">
        <v>162</v>
      </c>
      <c r="B72" s="111"/>
      <c r="C72" s="46" t="s">
        <v>180</v>
      </c>
      <c r="D72" s="13" t="str">
        <f>($G$1*30)/1000&amp;"kg"</f>
        <v>0kg</v>
      </c>
      <c r="E72" s="8"/>
      <c r="F72" s="2"/>
    </row>
    <row r="73" spans="1:7" x14ac:dyDescent="0.25">
      <c r="A73" s="115" t="s">
        <v>163</v>
      </c>
      <c r="B73" s="111"/>
      <c r="C73" s="119" t="s">
        <v>179</v>
      </c>
      <c r="D73" s="13" t="str">
        <f>($G$1*0.02)&amp;"kg"</f>
        <v>0kg</v>
      </c>
      <c r="E73" s="8"/>
      <c r="F73" s="2"/>
    </row>
    <row r="74" spans="1:7" x14ac:dyDescent="0.25">
      <c r="A74" s="115" t="s">
        <v>164</v>
      </c>
      <c r="B74" s="116"/>
      <c r="C74" s="118" t="s">
        <v>181</v>
      </c>
      <c r="D74" s="13" t="str">
        <f>($G$1*35)/1000&amp;"kg"</f>
        <v>0kg</v>
      </c>
      <c r="E74" s="8"/>
      <c r="F74" s="2"/>
    </row>
    <row r="75" spans="1:7" x14ac:dyDescent="0.25">
      <c r="A75" s="115" t="s">
        <v>165</v>
      </c>
      <c r="B75" s="117"/>
      <c r="C75" s="119" t="s">
        <v>178</v>
      </c>
      <c r="D75" s="13" t="str">
        <f>($G$1) &amp;" Unidades"</f>
        <v xml:space="preserve"> Unidades</v>
      </c>
      <c r="E75" s="8"/>
      <c r="F75" s="2"/>
    </row>
    <row r="76" spans="1:7" x14ac:dyDescent="0.25">
      <c r="A76" s="115" t="s">
        <v>166</v>
      </c>
      <c r="B76" s="117"/>
      <c r="C76" s="119" t="s">
        <v>182</v>
      </c>
      <c r="D76" s="13" t="str">
        <f>($G$1*0.11)&amp;"kg"</f>
        <v>0kg</v>
      </c>
      <c r="E76" s="8"/>
      <c r="F76" s="2"/>
    </row>
    <row r="77" spans="1:7" x14ac:dyDescent="0.25">
      <c r="A77" s="115" t="s">
        <v>167</v>
      </c>
      <c r="B77" s="117"/>
      <c r="C77" s="119" t="s">
        <v>9</v>
      </c>
      <c r="D77" s="13" t="str">
        <f>($G$1*0.12)&amp;"kg"</f>
        <v>0kg</v>
      </c>
      <c r="E77" s="8"/>
      <c r="F77" s="2"/>
    </row>
    <row r="78" spans="1:7" x14ac:dyDescent="0.25">
      <c r="A78" s="115" t="s">
        <v>117</v>
      </c>
      <c r="B78" s="117"/>
      <c r="C78" s="119" t="s">
        <v>178</v>
      </c>
      <c r="D78" s="13" t="str">
        <f>($G$1)&amp;" Unidades"</f>
        <v xml:space="preserve"> Unidades</v>
      </c>
      <c r="E78" s="8"/>
      <c r="F78" s="2"/>
    </row>
    <row r="79" spans="1:7" x14ac:dyDescent="0.25">
      <c r="A79" s="115" t="s">
        <v>168</v>
      </c>
      <c r="B79" s="117"/>
      <c r="C79" s="119" t="s">
        <v>180</v>
      </c>
      <c r="D79" s="13" t="str">
        <f>($G$1*0.03)&amp;"kg"</f>
        <v>0kg</v>
      </c>
      <c r="E79" s="8"/>
      <c r="F79" s="2"/>
    </row>
    <row r="80" spans="1:7" x14ac:dyDescent="0.25">
      <c r="A80" s="115" t="s">
        <v>169</v>
      </c>
      <c r="B80" s="117"/>
      <c r="C80" s="119" t="s">
        <v>125</v>
      </c>
      <c r="D80" s="13" t="str">
        <f>($G$1*1)&amp;"g"</f>
        <v>0g</v>
      </c>
      <c r="E80" s="8"/>
      <c r="F80" s="2"/>
    </row>
    <row r="81" spans="1:6" x14ac:dyDescent="0.25">
      <c r="A81" s="115" t="s">
        <v>170</v>
      </c>
      <c r="B81" s="117"/>
      <c r="C81" s="119" t="s">
        <v>183</v>
      </c>
      <c r="D81" s="13" t="str">
        <f>($G$1*0.025)&amp;"kg"</f>
        <v>0kg</v>
      </c>
      <c r="E81" s="8"/>
      <c r="F81" s="2"/>
    </row>
  </sheetData>
  <sheetProtection algorithmName="SHA-512" hashValue="drA+DTVqa1ufr6JcPihpFnQlob7OTEhJEdnAql3rn0RLlf8BBWkkI1gpKu7ll35HA4xSJPT7XIXwUspEV1ZdcQ==" saltValue="L9V9g1cgQkNdceuOAFY5Rg==" spinCount="100000" sheet="1" objects="1" scenarios="1"/>
  <mergeCells count="78">
    <mergeCell ref="F11:G11"/>
    <mergeCell ref="A1:D2"/>
    <mergeCell ref="F1:F2"/>
    <mergeCell ref="G1:G2"/>
    <mergeCell ref="A4:D4"/>
    <mergeCell ref="F4:G4"/>
    <mergeCell ref="F6:G6"/>
    <mergeCell ref="F7:G7"/>
    <mergeCell ref="F8:G8"/>
    <mergeCell ref="F9:G9"/>
    <mergeCell ref="A10:D10"/>
    <mergeCell ref="F10:G10"/>
    <mergeCell ref="F5:G5"/>
    <mergeCell ref="F22:G22"/>
    <mergeCell ref="F12:G12"/>
    <mergeCell ref="A13:D13"/>
    <mergeCell ref="F13:G13"/>
    <mergeCell ref="F14:G14"/>
    <mergeCell ref="A15:D15"/>
    <mergeCell ref="F16:G16"/>
    <mergeCell ref="F17:G17"/>
    <mergeCell ref="F18:G18"/>
    <mergeCell ref="A21:D21"/>
    <mergeCell ref="F21:G21"/>
    <mergeCell ref="F19:G19"/>
    <mergeCell ref="F20:G20"/>
    <mergeCell ref="A34:D34"/>
    <mergeCell ref="F34:G34"/>
    <mergeCell ref="F23:G23"/>
    <mergeCell ref="F24:G24"/>
    <mergeCell ref="F25:G25"/>
    <mergeCell ref="F26:G26"/>
    <mergeCell ref="A27:D27"/>
    <mergeCell ref="F27:G27"/>
    <mergeCell ref="F28:G28"/>
    <mergeCell ref="F29:G29"/>
    <mergeCell ref="F30:G30"/>
    <mergeCell ref="F31:G31"/>
    <mergeCell ref="F32:G32"/>
    <mergeCell ref="F33:G33"/>
    <mergeCell ref="F55:G55"/>
    <mergeCell ref="F45:G45"/>
    <mergeCell ref="C35:D35"/>
    <mergeCell ref="F35:G35"/>
    <mergeCell ref="C36:D36"/>
    <mergeCell ref="F36:G36"/>
    <mergeCell ref="A40:D40"/>
    <mergeCell ref="F40:G40"/>
    <mergeCell ref="C39:D39"/>
    <mergeCell ref="F39:G39"/>
    <mergeCell ref="F37:G37"/>
    <mergeCell ref="F38:G38"/>
    <mergeCell ref="D41:D45"/>
    <mergeCell ref="F41:G41"/>
    <mergeCell ref="F42:G42"/>
    <mergeCell ref="F44:G44"/>
    <mergeCell ref="A46:D46"/>
    <mergeCell ref="F46:G46"/>
    <mergeCell ref="F47:G47"/>
    <mergeCell ref="F48:G48"/>
    <mergeCell ref="A49:D49"/>
    <mergeCell ref="F49:G49"/>
    <mergeCell ref="F66:G66"/>
    <mergeCell ref="A63:C63"/>
    <mergeCell ref="F64:G64"/>
    <mergeCell ref="F65:G65"/>
    <mergeCell ref="F50:G50"/>
    <mergeCell ref="F51:G51"/>
    <mergeCell ref="F52:G52"/>
    <mergeCell ref="F57:G57"/>
    <mergeCell ref="A58:D58"/>
    <mergeCell ref="F58:G58"/>
    <mergeCell ref="F59:G59"/>
    <mergeCell ref="F60:G60"/>
    <mergeCell ref="F61:G61"/>
    <mergeCell ref="F56:G56"/>
    <mergeCell ref="F53:G53"/>
    <mergeCell ref="F54:G54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tabSelected="1" workbookViewId="0">
      <selection activeCell="R70" sqref="R7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ENSINO FUNDAMENTAL</vt:lpstr>
      <vt:lpstr>ENSINO MÉDIO E EJA</vt:lpstr>
      <vt:lpstr>TABELA PER CAPTA - CENUT</vt:lpstr>
      <vt:lpstr>'ENSINO FUNDAMENTAL'!Area_de_impressao</vt:lpstr>
      <vt:lpstr>'ENSINO MÉDIO E EJA'!Area_de_impressao</vt:lpstr>
    </vt:vector>
  </TitlesOfParts>
  <Company>FDE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Lucia Helena Motta Guilhermino Andrade</cp:lastModifiedBy>
  <cp:lastPrinted>2018-02-06T12:57:47Z</cp:lastPrinted>
  <dcterms:created xsi:type="dcterms:W3CDTF">2014-08-19T15:43:02Z</dcterms:created>
  <dcterms:modified xsi:type="dcterms:W3CDTF">2025-08-28T11:04:44Z</dcterms:modified>
</cp:coreProperties>
</file>