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EstaPastaDeTrabalho" autoCompressPictures="0"/>
  <xr:revisionPtr revIDLastSave="0" documentId="14_{1A254795-18C2-43A3-A304-1D9BA7717E12}" xr6:coauthVersionLast="47" xr6:coauthVersionMax="47" xr10:uidLastSave="{00000000-0000-0000-0000-000000000000}"/>
  <bookViews>
    <workbookView xWindow="-120" yWindow="-120" windowWidth="29040" windowHeight="15840" tabRatio="741" firstSheet="2" activeTab="2" xr2:uid="{00000000-000D-0000-FFFF-FFFF00000000}"/>
  </bookViews>
  <sheets>
    <sheet name="INTRO" sheetId="17" state="hidden" r:id="rId1"/>
    <sheet name="JAN" sheetId="1" r:id="rId2"/>
    <sheet name="FEV" sheetId="6" r:id="rId3"/>
    <sheet name="MAR" sheetId="7" r:id="rId4"/>
    <sheet name="ABR" sheetId="8" r:id="rId5"/>
  </sheets>
  <definedNames>
    <definedName name="AbrSun1" localSheetId="0">DATE(INTRO!AnoCalendário,4,1)-WEEKDAY(DATE(INTRO!AnoCalendário,4,1))+1</definedName>
    <definedName name="AbrSun1">DATE(AnoCalendário,4,1)-WEEKDAY(DATE(AnoCalendário,4,1))+1</definedName>
    <definedName name="AgoSun1" localSheetId="0">DATE(INTRO!AnoCalendário,8,1)-WEEKDAY(DATE(INTRO!AnoCalendário,8,1))+1</definedName>
    <definedName name="AgoSun1">DATE(AnoCalendário,8,1)-WEEKDAY(DATE(AnoCalendário,8,1))+1</definedName>
    <definedName name="AnoCalendário" localSheetId="0">JAN!$J$2</definedName>
    <definedName name="AnoCalendário">JAN!$K$2</definedName>
    <definedName name="Área_de_Impressão" localSheetId="4">ABR!$C$2:$P$34</definedName>
    <definedName name="Área_de_Impressão" localSheetId="2">FEV!$C$2:$L$34</definedName>
    <definedName name="Área_de_Impressão" localSheetId="1">JAN!$C$2:$K$34</definedName>
    <definedName name="Área_de_Impressão" localSheetId="3">MAR!$C$2:$P$34</definedName>
    <definedName name="DezSun1" localSheetId="0">DATE(INTRO!AnoCalendário,12,1)-WEEKDAY(DATE(INTRO!AnoCalendário,12,1))+1</definedName>
    <definedName name="DezSun1">DATE(AnoCalendário,12,1)-WEEKDAY(DATE(AnoCalendário,12,1))+1</definedName>
    <definedName name="DiasdeAtribuições" localSheetId="4">ABR!$E$14:$E$43</definedName>
    <definedName name="DiasdeAtribuições" localSheetId="2">FEV!$D$14:$D$43</definedName>
    <definedName name="DiasdeAtribuições" localSheetId="3">MAR!$E$14:$E$43</definedName>
    <definedName name="DiasdeAtribuições">JAN!$D$14:$D$43</definedName>
    <definedName name="FevSun1" localSheetId="0">DATE(INTRO!AnoCalendário,2,1)-WEEKDAY(DATE(INTRO!AnoCalendário,2,1))+1</definedName>
    <definedName name="FevSun1">DATE(AnoCalendário,2,1)-WEEKDAY(DATE(AnoCalendário,2,1))+1</definedName>
    <definedName name="JanSun1" localSheetId="0">DATE(INTRO!AnoCalendário,1,1)-WEEKDAY(DATE(INTRO!AnoCalendário,1,1))+1</definedName>
    <definedName name="JanSun1">DATE(AnoCalendário,1,1)-WEEKDAY(DATE(AnoCalendário,1,1))+1</definedName>
    <definedName name="JulSun1" localSheetId="0">DATE(INTRO!AnoCalendário,7,1)-WEEKDAY(DATE(INTRO!AnoCalendário,7,1))+1</definedName>
    <definedName name="JulSun1">DATE(AnoCalendário,7,1)-WEEKDAY(DATE(AnoCalendário,7,1))+1</definedName>
    <definedName name="JunSun1" localSheetId="0">DATE(INTRO!AnoCalendário,6,1)-WEEKDAY(DATE(INTRO!AnoCalendário,6,1))+1</definedName>
    <definedName name="JunSun1">DATE(AnoCalendário,6,1)-WEEKDAY(DATE(AnoCalendário,6,1))+1</definedName>
    <definedName name="MaiSun1" localSheetId="0">DATE(INTRO!AnoCalendário,5,1)-WEEKDAY(DATE(INTRO!AnoCalendário,5,1))+1</definedName>
    <definedName name="MaiSun1">DATE(AnoCalendário,5,1)-WEEKDAY(DATE(AnoCalendário,5,1))+1</definedName>
    <definedName name="MarSun1" localSheetId="0">DATE(INTRO!AnoCalendário,3,1)-WEEKDAY(DATE(INTRO!AnoCalendário,3,1))+1</definedName>
    <definedName name="MarSun1">DATE(AnoCalendário,3,1)-WEEKDAY(DATE(AnoCalendário,3,1))+1</definedName>
    <definedName name="NovSun1" localSheetId="0">DATE(INTRO!AnoCalendário,11,1)-WEEKDAY(DATE(INTRO!AnoCalendário,11,1))+1</definedName>
    <definedName name="NovSun1">DATE(AnoCalendário,11,1)-WEEKDAY(DATE(AnoCalendário,11,1))+1</definedName>
    <definedName name="OutSun1" localSheetId="0">DATE(INTRO!AnoCalendário,10,1)-WEEKDAY(DATE(INTRO!AnoCalendário,10,1))+1</definedName>
    <definedName name="OutSun1">DATE(AnoCalendário,10,1)-WEEKDAY(DATE(AnoCalendário,10,1))+1</definedName>
    <definedName name="SetSun1" localSheetId="0">DATE(INTRO!AnoCalendário,9,1)-WEEKDAY(DATE(INTRO!AnoCalendário,9,1))+1</definedName>
    <definedName name="SetSun1">DATE(AnoCalendário,9,1)-WEEKDAY(DATE(AnoCalendário,9,1))+1</definedName>
    <definedName name="TabeladeDatasImportantes" localSheetId="4">ABR!$E$14:$F$18</definedName>
    <definedName name="TabeladeDatasImportantes" localSheetId="2">FEV!$D$14:$E$18</definedName>
    <definedName name="TabeladeDatasImportantes" localSheetId="3">MAR!$E$14:$F$18</definedName>
    <definedName name="TabeladeDatasImportantes">JAN!$D$14:$G$18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8" l="1"/>
  <c r="D2" i="8"/>
  <c r="C12" i="7"/>
  <c r="C12" i="6"/>
  <c r="F3" i="8"/>
  <c r="F3" i="7"/>
  <c r="D2" i="7"/>
  <c r="F3" i="6"/>
  <c r="D2" i="6"/>
  <c r="K2" i="8"/>
  <c r="K2" i="7"/>
  <c r="D2" i="1"/>
  <c r="K2" i="6"/>
  <c r="K5" i="1"/>
  <c r="K10" i="8"/>
  <c r="J10" i="8"/>
  <c r="I10" i="8"/>
  <c r="H10" i="8"/>
  <c r="G10" i="8"/>
  <c r="F10" i="8"/>
  <c r="E10" i="8"/>
  <c r="K9" i="8"/>
  <c r="J9" i="8"/>
  <c r="I9" i="8"/>
  <c r="H9" i="8"/>
  <c r="G9" i="8"/>
  <c r="F9" i="8"/>
  <c r="E9" i="8"/>
  <c r="K8" i="8"/>
  <c r="J8" i="8"/>
  <c r="I8" i="8"/>
  <c r="H8" i="8"/>
  <c r="G8" i="8"/>
  <c r="F8" i="8"/>
  <c r="E8" i="8"/>
  <c r="K7" i="8"/>
  <c r="J7" i="8"/>
  <c r="I7" i="8"/>
  <c r="H7" i="8"/>
  <c r="G7" i="8"/>
  <c r="F7" i="8"/>
  <c r="E7" i="8"/>
  <c r="K6" i="8"/>
  <c r="J6" i="8"/>
  <c r="I6" i="8"/>
  <c r="H6" i="8"/>
  <c r="G6" i="8"/>
  <c r="F6" i="8"/>
  <c r="E6" i="8"/>
  <c r="K5" i="8"/>
  <c r="J5" i="8"/>
  <c r="I5" i="8"/>
  <c r="H5" i="8"/>
  <c r="G5" i="8"/>
  <c r="F5" i="8"/>
  <c r="E5" i="8"/>
  <c r="K10" i="7"/>
  <c r="J10" i="7"/>
  <c r="I10" i="7"/>
  <c r="H10" i="7"/>
  <c r="G10" i="7"/>
  <c r="F10" i="7"/>
  <c r="E10" i="7"/>
  <c r="K9" i="7"/>
  <c r="J9" i="7"/>
  <c r="I9" i="7"/>
  <c r="H9" i="7"/>
  <c r="G9" i="7"/>
  <c r="F9" i="7"/>
  <c r="E9" i="7"/>
  <c r="K8" i="7"/>
  <c r="J8" i="7"/>
  <c r="I8" i="7"/>
  <c r="H8" i="7"/>
  <c r="G8" i="7"/>
  <c r="F8" i="7"/>
  <c r="E8" i="7"/>
  <c r="K7" i="7"/>
  <c r="J7" i="7"/>
  <c r="I7" i="7"/>
  <c r="H7" i="7"/>
  <c r="G7" i="7"/>
  <c r="F7" i="7"/>
  <c r="E7" i="7"/>
  <c r="K6" i="7"/>
  <c r="J6" i="7"/>
  <c r="I6" i="7"/>
  <c r="H6" i="7"/>
  <c r="G6" i="7"/>
  <c r="F6" i="7"/>
  <c r="E6" i="7"/>
  <c r="K5" i="7"/>
  <c r="J5" i="7"/>
  <c r="I5" i="7"/>
  <c r="H5" i="7"/>
  <c r="G5" i="7"/>
  <c r="F5" i="7"/>
  <c r="E5" i="7"/>
  <c r="K10" i="6"/>
  <c r="J10" i="6"/>
  <c r="I10" i="6"/>
  <c r="H10" i="6"/>
  <c r="G10" i="6"/>
  <c r="F10" i="6"/>
  <c r="E10" i="6"/>
  <c r="K9" i="6"/>
  <c r="J9" i="6"/>
  <c r="I9" i="6"/>
  <c r="H9" i="6"/>
  <c r="G9" i="6"/>
  <c r="F9" i="6"/>
  <c r="E9" i="6"/>
  <c r="K8" i="6"/>
  <c r="J8" i="6"/>
  <c r="I8" i="6"/>
  <c r="H8" i="6"/>
  <c r="G8" i="6"/>
  <c r="F8" i="6"/>
  <c r="E8" i="6"/>
  <c r="K7" i="6"/>
  <c r="J7" i="6"/>
  <c r="I7" i="6"/>
  <c r="H7" i="6"/>
  <c r="G7" i="6"/>
  <c r="F7" i="6"/>
  <c r="E7" i="6"/>
  <c r="K6" i="6"/>
  <c r="J6" i="6"/>
  <c r="I6" i="6"/>
  <c r="H6" i="6"/>
  <c r="G6" i="6"/>
  <c r="F6" i="6"/>
  <c r="E6" i="6"/>
  <c r="K5" i="6"/>
  <c r="J5" i="6"/>
  <c r="I5" i="6"/>
  <c r="H5" i="6"/>
  <c r="G5" i="6"/>
  <c r="F5" i="6"/>
  <c r="E5" i="6"/>
  <c r="J5" i="1"/>
  <c r="K10" i="1"/>
  <c r="J10" i="1"/>
  <c r="I10" i="1"/>
  <c r="H10" i="1"/>
  <c r="G10" i="1"/>
  <c r="F10" i="1"/>
  <c r="E10" i="1"/>
  <c r="K9" i="1"/>
  <c r="J9" i="1"/>
  <c r="I9" i="1"/>
  <c r="H9" i="1"/>
  <c r="G9" i="1"/>
  <c r="F9" i="1"/>
  <c r="E9" i="1"/>
  <c r="K8" i="1"/>
  <c r="J8" i="1"/>
  <c r="I8" i="1"/>
  <c r="H8" i="1"/>
  <c r="G8" i="1"/>
  <c r="F8" i="1"/>
  <c r="E8" i="1"/>
  <c r="K7" i="1"/>
  <c r="J7" i="1"/>
  <c r="I7" i="1"/>
  <c r="H7" i="1"/>
  <c r="G7" i="1"/>
  <c r="F7" i="1"/>
  <c r="E7" i="1"/>
  <c r="K6" i="1"/>
  <c r="J6" i="1"/>
  <c r="I6" i="1"/>
  <c r="H6" i="1"/>
  <c r="G6" i="1"/>
  <c r="F6" i="1"/>
  <c r="E6" i="1"/>
  <c r="I5" i="1"/>
  <c r="H5" i="1"/>
  <c r="G5" i="1"/>
  <c r="F5" i="1"/>
  <c r="E5" i="1"/>
</calcChain>
</file>

<file path=xl/sharedStrings.xml><?xml version="1.0" encoding="utf-8"?>
<sst xmlns="http://schemas.openxmlformats.org/spreadsheetml/2006/main" count="374" uniqueCount="167">
  <si>
    <t>ORIENTAÇÕES PARA PREENCHIMENTO DA AGENDA BIMESTRAL 2025</t>
  </si>
  <si>
    <t>O QUE É A AGENDA BIMESTRAL?</t>
  </si>
  <si>
    <t xml:space="preserve">A Agenda Bimestral é o Instrumento de Gestão que traduz "o quando" do Plano de Ação para a Equipe Escolar.
</t>
  </si>
  <si>
    <t>Além disso, é um espaço de alinhamento da Agenda Escolar com o calendário da COPED/SEDUC e da Diretoria de Ensino.</t>
  </si>
  <si>
    <t>QUAIS ATIVIDADES DEVO INCLUIR NA AGENDA BIMESTRAL?</t>
  </si>
  <si>
    <t>No que diz respeito à COPED e DE:</t>
  </si>
  <si>
    <t>Agenda de formações que envolvem a participação da Equipe Escolar;</t>
  </si>
  <si>
    <t>Agenda das reuniões da COPED ou DE com os(as) Diretores(as) das Escolas PEI;</t>
  </si>
  <si>
    <t>Agenda de visita da DE na escola;</t>
  </si>
  <si>
    <t>No que diz respeito à Escola:</t>
  </si>
  <si>
    <t xml:space="preserve">Agenda de formações a serem realizadas na Escola; </t>
  </si>
  <si>
    <t>Acolhimento;</t>
  </si>
  <si>
    <t>Avaliações internas e externas (Ex. avaliações bimestrais, avaliação diagnóstica, SARESP, IDEB, ENEM, etc.);</t>
  </si>
  <si>
    <t>Agenda de visita dos Ciclos de Acompanhamento Formativo (CAF);</t>
  </si>
  <si>
    <t>Culminâncias (Ex. Feira das Eletivas, Clubes);</t>
  </si>
  <si>
    <t>Elaboração dos Guias de Aprendizagem;</t>
  </si>
  <si>
    <t>Eventos e extensão (Ex. Olimpíada Estadual ou Nacional de Matemática, Feira de Tecnologia, Intercâmbio, etc.);</t>
  </si>
  <si>
    <t>Preparação e aplicação de provas;</t>
  </si>
  <si>
    <t>Reunião de alinhamento com toda a Equipe Escolar;</t>
  </si>
  <si>
    <t>Reunião quinzenal dos Líderes de Turma e Presidentes de Clubes Juvenis com o(a) Diretor(a);</t>
  </si>
  <si>
    <t>Reuniões com Pais/Responsáveis;</t>
  </si>
  <si>
    <t xml:space="preserve">Reuniões de Conselho de Classe, entre outras atividades. </t>
  </si>
  <si>
    <t>POR QUEM DEVE SER PREENCHIDA?</t>
  </si>
  <si>
    <r>
      <rPr>
        <u/>
        <sz val="12"/>
        <color rgb="FF007E6C"/>
        <rFont val="Calibri"/>
        <family val="2"/>
      </rPr>
      <t>1</t>
    </r>
    <r>
      <rPr>
        <u/>
        <vertAlign val="superscript"/>
        <sz val="12"/>
        <color rgb="FF007E6C"/>
        <rFont val="Calibri"/>
        <family val="2"/>
      </rPr>
      <t>o</t>
    </r>
    <r>
      <rPr>
        <u/>
        <sz val="12"/>
        <color rgb="FF007E6C"/>
        <rFont val="Calibri"/>
        <family val="2"/>
      </rPr>
      <t xml:space="preserve"> Momento</t>
    </r>
    <r>
      <rPr>
        <sz val="12"/>
        <color rgb="FF007E6C"/>
        <rFont val="Calibri"/>
        <family val="2"/>
      </rPr>
      <t>:</t>
    </r>
    <r>
      <rPr>
        <sz val="12"/>
        <color theme="1"/>
        <rFont val="Calibri"/>
        <family val="2"/>
      </rPr>
      <t xml:space="preserve"> A agenda é elaborada a partir do planejamento da Equipe COPED.</t>
    </r>
  </si>
  <si>
    <r>
      <rPr>
        <u/>
        <sz val="12"/>
        <color rgb="FF007E6C"/>
        <rFont val="Calibri"/>
        <family val="2"/>
      </rPr>
      <t>2</t>
    </r>
    <r>
      <rPr>
        <u/>
        <vertAlign val="superscript"/>
        <sz val="12"/>
        <color rgb="FF007E6C"/>
        <rFont val="Calibri"/>
        <family val="2"/>
      </rPr>
      <t>o</t>
    </r>
    <r>
      <rPr>
        <u/>
        <sz val="12"/>
        <color rgb="FF007E6C"/>
        <rFont val="Calibri"/>
        <family val="2"/>
      </rPr>
      <t xml:space="preserve"> Momento</t>
    </r>
    <r>
      <rPr>
        <sz val="12"/>
        <color rgb="FF007E6C"/>
        <rFont val="Calibri"/>
        <family val="2"/>
      </rPr>
      <t>:</t>
    </r>
    <r>
      <rPr>
        <sz val="12"/>
        <color theme="1"/>
        <rFont val="Calibri"/>
        <family val="2"/>
      </rPr>
      <t xml:space="preserve"> A agenda é complementada/ajustada pela Equipe Gestora da escola, considerando o Plano de Ação e também as atividades dos professores e estudantes.</t>
    </r>
  </si>
  <si>
    <t>QUANDO DEVE SER PREENCHIDA?</t>
  </si>
  <si>
    <t>Antes do início de cada bimestre, a Equipe COPED enviará para as Escolas a Agenda Bimestral preenchida ou atualizada com as atividades relativas ao Programa PEI. Após o recebimento da Agenda Bimestral, a Equipe Gestora deve fazer seu próprio preenchimento e socializar com toda a Equipe Escolar.</t>
  </si>
  <si>
    <t>POR QUE ELABORAR UMA AGENDA BIMESTRAL?</t>
  </si>
  <si>
    <t>A Agenda Bimestral é uma forma simples de alinhamento vertical (Equipe COPED, Diretorias de Ensino e Equipe Escolar) das atividades e facilitar a gestão do Programa PEI na Escola.</t>
  </si>
  <si>
    <t>PARAMETRIZAÇÃO</t>
  </si>
  <si>
    <t>Na aba do mês de janeiro (JAN):</t>
  </si>
  <si>
    <t>Digitar o ano da agenda (isso vai afetar os calendários de cada mês).</t>
  </si>
  <si>
    <t>Digitar a data de atualização da agenda ("VERSÃO") que deverá mudar a cada alteração.</t>
  </si>
  <si>
    <t>Digitar, no cabeçalho da tabela de atividades, o nome do Programa e o nome da Escola.</t>
  </si>
  <si>
    <t>Em todas  as  abas:</t>
  </si>
  <si>
    <t>Ajustar a tabela de dia da semana (coluna B) de acordo com o calendário de cada mês.</t>
  </si>
  <si>
    <t>Para cada atividade incluída, informar na coluna A se foi pela equipe de Secretaria "S" ou se pela equipe da Escola "E"</t>
  </si>
  <si>
    <t>Caso a altura da linha não seja suficiente para o texto inserido, essa poderá ser ampliada</t>
  </si>
  <si>
    <t>Pressionar simultâneamente as teclas [alt] [enter] caso queira mudar de linha dentro de uma célula.</t>
  </si>
  <si>
    <t>AGENDA BIMESTRAL</t>
  </si>
  <si>
    <t>JANEIRO</t>
  </si>
  <si>
    <t>ATUALIZADA:</t>
  </si>
  <si>
    <t>&lt;&lt;&lt;Digitar a versão:</t>
  </si>
  <si>
    <t>Digitar o ano&gt;&gt;&gt;</t>
  </si>
  <si>
    <t>OBSERVAÇÕES</t>
  </si>
  <si>
    <t>SEG</t>
  </si>
  <si>
    <t>TER</t>
  </si>
  <si>
    <t>QUA</t>
  </si>
  <si>
    <t>QUI</t>
  </si>
  <si>
    <t>SEX</t>
  </si>
  <si>
    <t>SÁB</t>
  </si>
  <si>
    <t>DOM</t>
  </si>
  <si>
    <t>1) Feriado 01/01 - Confraternização Universal</t>
  </si>
  <si>
    <t>2) Planejamento escolar de 29 a 31/01, conforme calendário letivo</t>
  </si>
  <si>
    <t xml:space="preserve">3) Inserir a Agenda Bimestral na Agenda Google da Escola antes do início das aulas </t>
  </si>
  <si>
    <t>4) Para o planejamento, utilizar os materiais enviados pela COPED</t>
  </si>
  <si>
    <t>5) Na elaboração do horário, garantir que todas as Eletivas estejam no mesmo horário (aulas simultâneas)</t>
  </si>
  <si>
    <t>6) Praparação dos espaços escolares para o início das aulas</t>
  </si>
  <si>
    <t>7) Garantir a participação da comunidade escolar no Plano de Ação</t>
  </si>
  <si>
    <t>ESCOLA &lt;&lt;digite aqui o nome da escola&gt;&gt;</t>
  </si>
  <si>
    <t xml:space="preserve">ORIENTAÇÕES  PARA UTILIZAÇÃO DA AGENDA BIMESTRAL </t>
  </si>
  <si>
    <t>DIA</t>
  </si>
  <si>
    <t>DATA</t>
  </si>
  <si>
    <t>ATIVIDADE</t>
  </si>
  <si>
    <t>AGENDA GESTÃO</t>
  </si>
  <si>
    <t xml:space="preserve">RESPONSÁVEL </t>
  </si>
  <si>
    <t>Semana 1</t>
  </si>
  <si>
    <r>
      <rPr>
        <b/>
        <sz val="11"/>
        <color rgb="FF007E6C"/>
        <rFont val="Calibri"/>
        <family val="2"/>
      </rPr>
      <t xml:space="preserve">
O QUE É A AGENDA BIMESTRAL?</t>
    </r>
    <r>
      <rPr>
        <sz val="11"/>
        <color theme="1"/>
        <rFont val="Calibri"/>
        <family val="2"/>
      </rPr>
      <t xml:space="preserve">
A Agenda Bimestral é o Instrumento de Gestão que traduz "o quando" do Plano de Ação para a Equipe Escolar. Além disso, é um espaço de alinhamento vertical entre COPED/ Diretoria de Ensino/Escola que facilita a gestão do Programa PEI.
</t>
    </r>
    <r>
      <rPr>
        <b/>
        <sz val="11"/>
        <color rgb="FF007E6C"/>
        <rFont val="Calibri"/>
        <family val="2"/>
      </rPr>
      <t xml:space="preserve">QUAIS ATIVIDADES DEVO INCLUIR?
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ESCOLA:</t>
    </r>
    <r>
      <rPr>
        <sz val="11"/>
        <rFont val="Calibri"/>
        <family val="2"/>
      </rPr>
      <t xml:space="preserve">
Acolhimento
Agenda de formações a serem realizadas na Escola
Agenda de visita da DE na escola
Agenda de visita dos Ciclos de Acompanhamento Formativo (CAF);
Avaliações internas e externas 
Culminâncias (Ex. Feira das Eletivas, Clubes)
Elaboração dos Guias de Aprendizagem
Eventos e extensão 
Planejamento
Preparação e aplicação de provas
Reunião de alinhamento com toda a Equipe Escolar
Reunião quinzenal com Líderes de Turma e Presidentes de Clubes Juvenis 
Reuniões com Pais/Responsáveis
Reuniões de Conselho de Classe, entre outras atividades
</t>
    </r>
    <r>
      <rPr>
        <b/>
        <sz val="11"/>
        <rFont val="Calibri"/>
        <family val="2"/>
      </rPr>
      <t xml:space="preserve">
</t>
    </r>
    <r>
      <rPr>
        <b/>
        <sz val="11"/>
        <color rgb="FF007E6C"/>
        <rFont val="Calibri"/>
        <family val="2"/>
      </rPr>
      <t xml:space="preserve">FLUXO: 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1º)</t>
    </r>
    <r>
      <rPr>
        <sz val="11"/>
        <rFont val="Calibri"/>
        <family val="2"/>
      </rPr>
      <t xml:space="preserve"> A agenda é elaborada pela Equipe COPED.
</t>
    </r>
    <r>
      <rPr>
        <b/>
        <sz val="11"/>
        <rFont val="Calibri"/>
        <family val="2"/>
      </rPr>
      <t xml:space="preserve">2º) </t>
    </r>
    <r>
      <rPr>
        <sz val="11"/>
        <rFont val="Calibri"/>
        <family val="2"/>
      </rPr>
      <t xml:space="preserve">A agenda é utilizada/complementada/ajustada pela Equipe Gestora da escola, considerando o Plano de Ação e também as atividades dos professores e estudantes. A escola pode transcrever as informações bimestrais para sua agenda habitual ou utilizar esta ferramenta. </t>
    </r>
    <r>
      <rPr>
        <b/>
        <sz val="11"/>
        <color rgb="FF007E6C"/>
        <rFont val="Calibri"/>
        <family val="2"/>
      </rPr>
      <t xml:space="preserve">
PREENCHIMENTO:
</t>
    </r>
    <r>
      <rPr>
        <sz val="11"/>
        <rFont val="Calibri"/>
        <family val="2"/>
      </rPr>
      <t>Pressionar simultâneamente as teclas [Alt]+[Enter] caso queira mudar de linha dentro de uma mesma célula.
Caso queira ampliar a largura da linha, basta clicar e arrastar abaixo do número da linha à esquerda.</t>
    </r>
    <r>
      <rPr>
        <b/>
        <sz val="11"/>
        <color rgb="FF007E6C"/>
        <rFont val="Calibri"/>
        <family val="2"/>
      </rPr>
      <t xml:space="preserve">
</t>
    </r>
  </si>
  <si>
    <t>Semana 2</t>
  </si>
  <si>
    <t>Semana 3</t>
  </si>
  <si>
    <t>ORGANIZAÇÃO</t>
  </si>
  <si>
    <t xml:space="preserve">Levantamento de dados e indicadores para o Diagnóstico escolar para o Plano de Ação (BI, Plataformas, IDEB, SARESP, ENEM, entre outros)
Elaboração do Diagnóstico escolar (Plano de Ação)
Planejamento do Acolhimento Inicial 
Articulação dos Estudantes Acolhedores e dos materiais </t>
  </si>
  <si>
    <t>Diretor(a) organiza o Diagóstico com o apoio da Equipe Gestora
Vice-diretror(a) planeja, articula os estudantes e os materiais</t>
  </si>
  <si>
    <t>Semana 4</t>
  </si>
  <si>
    <t>PREPARAÇÃO</t>
  </si>
  <si>
    <t xml:space="preserve">Elaboração dos horários dos professores 
Elaboração da versão inicial do Plano de Ação 
Planejamento das formações  e organização de materiais para o planejamento
Preparação e sinalização dos espaços escolares para o Acolhimento Inicial e o início do ano letivo </t>
  </si>
  <si>
    <t>Equipe Gestora</t>
  </si>
  <si>
    <t>Semana 5</t>
  </si>
  <si>
    <t>PLANEJAMENTO</t>
  </si>
  <si>
    <r>
      <t xml:space="preserve">Acolhimento da Equipe Escolar, incluindo quadro QAE e demais funcionários
</t>
    </r>
    <r>
      <rPr>
        <b/>
        <sz val="10"/>
        <color theme="1"/>
        <rFont val="Calibri"/>
        <family val="2"/>
      </rPr>
      <t xml:space="preserve">Formação em Valores, Princípios e Premissas 
Formação em Acolhimento e divulgação do cronograma
Formação em Instrumentos de Gestão 
</t>
    </r>
    <r>
      <rPr>
        <sz val="10"/>
        <color theme="1"/>
        <rFont val="Calibri"/>
        <family val="2"/>
      </rPr>
      <t>Apresentação dos horários dos professores 
Apresentação de materiais orientadores PEI
Elaboração coletiva do Plano de Ação escolar - Discutir diagnóstico, prioridades, metas, ações e prazos pré-definidos na versão inicial do plano 
Início da elaboração dos Programas de Ação
Início da elaboração dos Guias de Aprendizagem</t>
    </r>
  </si>
  <si>
    <t xml:space="preserve">Diretor(a) coordena com o apoio da Equipe Gestora </t>
  </si>
  <si>
    <t>LINK DE ACESSO AOS MATERIAIS E INSTRUMENTOS PEI</t>
  </si>
  <si>
    <t>https://seesp-my.sharepoint.com/:f:/g/personal/coped_decegep_educacao_sp_gov_br/EhSXKUsxEH5AqRE27KdwDtIBeOGWO2PLohECLcrbJPS6hQ?e=xHQEC9</t>
  </si>
  <si>
    <t>FEVEREIRO</t>
  </si>
  <si>
    <t>VERSÃO:</t>
  </si>
  <si>
    <t>1) Dia 03/02 - Início do Ano Letivo 2025</t>
  </si>
  <si>
    <t xml:space="preserve">2) Garantir o alinhamento da agenda escolar com os prazos do Plano de Programas de Ação escolar </t>
  </si>
  <si>
    <t xml:space="preserve">3) </t>
  </si>
  <si>
    <t xml:space="preserve">4) </t>
  </si>
  <si>
    <t xml:space="preserve">5) </t>
  </si>
  <si>
    <t xml:space="preserve">6) </t>
  </si>
  <si>
    <t xml:space="preserve">7) </t>
  </si>
  <si>
    <t>SUGESTÕES DE PAUTAS DAS REUNIÕES ARTICULADAS COM AS ATIVIDADES</t>
  </si>
  <si>
    <t>ATIVIDADES</t>
  </si>
  <si>
    <t>DETALHAMENTO DAS ATIVIDADES</t>
  </si>
  <si>
    <t>PAUTA ATPCG</t>
  </si>
  <si>
    <t>PAUTA ATPCA</t>
  </si>
  <si>
    <t>PAUTA REUNIÕES ESTUDANTES</t>
  </si>
  <si>
    <t>ACOLHIMENTO</t>
  </si>
  <si>
    <r>
      <rPr>
        <b/>
        <sz val="10"/>
        <color theme="1"/>
        <rFont val="Calibri"/>
        <family val="2"/>
      </rPr>
      <t xml:space="preserve">Início das aulas </t>
    </r>
    <r>
      <rPr>
        <sz val="10"/>
        <color theme="1"/>
        <rFont val="Calibri"/>
        <family val="2"/>
      </rPr>
      <t xml:space="preserve">
Acolhimento Inicial (Ofininas de acolhimento para o EFAI)
Culminância do Acolhimento Inicial com participação de todos os professores
Acolhimento dos Pais/Responsáveis - Reunião de Pais e Mestres
Planejamento da Eleição de Líderes de Turma 
Planejamento do Feirão de Clubes
Planejamento da escolha dos Tutores e pautas da tutoria coletiva
Planejamento da Formação em Protagonismo 
Planejameno da Avaliação Diagnóstica 1º Bimestre
Edital e inscrições para Líderes de Turma 
Organização dos candidatos a presidente de Clubes</t>
    </r>
  </si>
  <si>
    <t xml:space="preserve">Vice-diretor(a) é responsável pelo Acolhimento Inicial 
CGPAC e PAAET são responsáveis pelo planejamento da área/ ciclo/IFTP </t>
  </si>
  <si>
    <t xml:space="preserve">Valores, Princípios e Premissas
Tutoria
Agenda Escolar
</t>
  </si>
  <si>
    <t>Programa de Ação
Eletivas</t>
  </si>
  <si>
    <t xml:space="preserve">Introdução a Clubes 
Organização dos Clubes
Plano de Ação dos Clubes </t>
  </si>
  <si>
    <t>AVALIAÇÃO DIAGNÓSTICA
ESCOLHA DOS TUTORES
FORMAÇÃO EM PROTAGONISMO</t>
  </si>
  <si>
    <r>
      <t xml:space="preserve">C do PDCA do Acolhimento Inicial
Sistematização dos sonhos dos estudantes
Articulação de Parceria para E/M/A, Eletivas e IFPT
Aplicação da Avaliação Diagnóstica
</t>
    </r>
    <r>
      <rPr>
        <b/>
        <sz val="10"/>
        <rFont val="Calibri"/>
        <family val="2"/>
      </rPr>
      <t>Formação dos estudantes em Protagonismo (Assembéia para EFAI)</t>
    </r>
    <r>
      <rPr>
        <sz val="10"/>
        <rFont val="Calibri"/>
        <family val="2"/>
      </rPr>
      <t xml:space="preserve">
Planejamento das Eletivas
Planejamento Eleição de Grêmios Estudantis</t>
    </r>
  </si>
  <si>
    <t xml:space="preserve"> </t>
  </si>
  <si>
    <t>Projeto de Vida (apresentação da sistematização dos Sonhos dos estudantes com o Vice-diretor) 
Projeto de Convivência (EFAI)
Protagonismo
Assembléia (EFAI)
Orientações sobre a Avaliação Diagnóstica e o Nivelamento</t>
  </si>
  <si>
    <t xml:space="preserve">Avaliação Diagnóstica OE 
</t>
  </si>
  <si>
    <t>Agenda de Reuniões dos Presidentes de Clubes com a Gestão
Contrato de Convivência dos Clubes
Contrato de Convivência dos Contratos (EFAI)</t>
  </si>
  <si>
    <t>ELEIÇÃO DE LÍDERES DE TURMA
FEIRÃO DE CLUBES</t>
  </si>
  <si>
    <t>Verificar alinhamento do Plano de Ação com os Valores, Princípios e Premissas 
Eleição democrática de Líderes de Turma
Feirão dos Clubes Juvenis 
Tutores conhecem os sonhos e perfil dos tutorados
Formação dos estudantes e das Chapas Gremistas
Divulgação das Chapas, orientações e regras para eleição de Grêmios 
Planejamento do Feirão das Eletivas</t>
  </si>
  <si>
    <t>Gestão Escolar</t>
  </si>
  <si>
    <t>Resultado Geral da Avaliação Diagnóstica
Eletivas</t>
  </si>
  <si>
    <t>Resultados da Avaliação Diagnóstica</t>
  </si>
  <si>
    <t>Formação das chapas Gremistas
Eleição de Grêmios</t>
  </si>
  <si>
    <t>FEIRÃO DE ELETIVAS
ELEIÇÃO DE GRÊMIOS ESTUDANTIS</t>
  </si>
  <si>
    <t>Feirão de Eletivas
Eleição de Grêmios
Início dos Clubes Juvenis
Início da Tutoria individualizada (EFAF e EM)
Cadastro das Eletivas no sistema
Incluir no Plano de Ação ações baseadas nos Valores, Princípios e Premissas, caso não tenha</t>
  </si>
  <si>
    <t>Nivelamento 
Plano de Nivelamento 
Plano de Alfabetização (EFAI)</t>
  </si>
  <si>
    <t>Resultados da Avaliação Diagnóstica
Plano de Nivelamento OE
Plano de Alfabetização (EFAI) 
Plano Intermediário (EFAI)</t>
  </si>
  <si>
    <t xml:space="preserve">Conselho de Líderes 
Atribuições dos Líderes de Turma
Manual de Líderes </t>
  </si>
  <si>
    <t>MARÇO</t>
  </si>
  <si>
    <t>1) Feriado 04/03 - Carnaval</t>
  </si>
  <si>
    <t xml:space="preserve">2) </t>
  </si>
  <si>
    <t>NIVELAMENTO</t>
  </si>
  <si>
    <t>Início do Nivelamento 
Início das Eletivas
Início dos Grêmios 
Cadastro das Eletivas no sistema</t>
  </si>
  <si>
    <t xml:space="preserve">Equipe Gestora 
Professores de Eletivas </t>
  </si>
  <si>
    <t xml:space="preserve">Indicadores de Aprendizagem </t>
  </si>
  <si>
    <t>Articulação do Plano de Nivelamento OE
Articulação do Plano de Alfabetização (EFAI)
Articulação do Plano Intermediário (EFAI)</t>
  </si>
  <si>
    <t xml:space="preserve">Atribuições dos Presidentes de Grêmio
Organização dos Grêmios </t>
  </si>
  <si>
    <t>ACOMPANHAMENTO</t>
  </si>
  <si>
    <t xml:space="preserve">Acompanhamento das ações do Plano de Ação </t>
  </si>
  <si>
    <t xml:space="preserve">Diretor(a) Escolar </t>
  </si>
  <si>
    <t>Ciclo PDCA</t>
  </si>
  <si>
    <t xml:space="preserve">Acompanhamento das ações do Programa de Ação </t>
  </si>
  <si>
    <t>Fluxo de reunião de Líderes com sua turma
Agenda de reunião dos Líderes com a Gestão</t>
  </si>
  <si>
    <t>CGPG</t>
  </si>
  <si>
    <t>Avaliação Escolar 1º Bimestre
Mapa Classe (EFAI)</t>
  </si>
  <si>
    <t>Monitoramento e avaliação dos Clubes Juvenis</t>
  </si>
  <si>
    <t xml:space="preserve">Acompanhamento dos Guias de Aprendizagem </t>
  </si>
  <si>
    <t xml:space="preserve">Guias de Aprendizagem </t>
  </si>
  <si>
    <t xml:space="preserve">Acompanhamento do Guia de Aprendizagem </t>
  </si>
  <si>
    <t>Agenda de reuniões do Presidente de Grêmio com a Gestão</t>
  </si>
  <si>
    <t>Semana de Estudos Intensivo</t>
  </si>
  <si>
    <t>ABRIL</t>
  </si>
  <si>
    <t>1) Feriado 18/04 - Sexta-feira Santa, 20/04/ Páscoa e 21/04 Tiradentes</t>
  </si>
  <si>
    <t xml:space="preserve">2) Dia 15/03 - Término do Primeiro Bimestre Letivo </t>
  </si>
  <si>
    <t>3) Fim do prazo para elaboração e divulgação do Plano de Ação escolar</t>
  </si>
  <si>
    <t>ESTUDOS INTENSIVO</t>
  </si>
  <si>
    <t>Conselho de Classe</t>
  </si>
  <si>
    <t>Replanejamento dos Guias de Aprendizagem</t>
  </si>
  <si>
    <t>Participação no Conselho de Classe</t>
  </si>
  <si>
    <t>AVALIAÇÃO ESCOLAR 1º BIMESTRE</t>
  </si>
  <si>
    <t>Semana de Avaliação</t>
  </si>
  <si>
    <t xml:space="preserve">Semana de Avaliação
Consolidação dos resultados do primeiro bimestre </t>
  </si>
  <si>
    <t>CGPG
Poofessores</t>
  </si>
  <si>
    <t>Diagnóstico do 1º Bimestre</t>
  </si>
  <si>
    <t>MONITORAMENTO 
CONSELHO DE CLASSE</t>
  </si>
  <si>
    <t>Diagnóstico dos resultados do 1º Bimestre
Reunião de Conselho de Classe</t>
  </si>
  <si>
    <t>Diretor(a) Escolar
CGPAC</t>
  </si>
  <si>
    <t>Resultados do 1º Bimestre</t>
  </si>
  <si>
    <t>Culminância e certificação dos Clubes</t>
  </si>
  <si>
    <t>REPLANEJAMENTO</t>
  </si>
  <si>
    <t>Prazo final para elaboração do Plano de Ação
Prazo final para ampla Divulgação do Plano de Ação
Prazo final para elaboração dos Programas de Ação, considerando o diagnóstico de 1º bimestre
Reunião de Pais e Mestres</t>
  </si>
  <si>
    <t>A do PDCA com foco nos resultados do bimestre</t>
  </si>
  <si>
    <t>Replanejamento dos Programas de Ação</t>
  </si>
  <si>
    <t>Acompanhamento dos Guias de Aprendizagem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</si>
</sst>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"/>
  </numFmts>
  <fonts count="43" x14ac:knownFonts="1">
    <font>
      <sz val="10"/>
      <color theme="1"/>
      <name val="Arial"/>
      <family val="2"/>
      <scheme val="minor"/>
    </font>
    <font>
      <sz val="8"/>
      <name val="Arial"/>
      <family val="2"/>
      <scheme val="minor"/>
    </font>
    <font>
      <b/>
      <sz val="12"/>
      <color theme="4"/>
      <name val="Arial"/>
      <family val="2"/>
      <scheme val="minor"/>
    </font>
    <font>
      <b/>
      <sz val="17"/>
      <color theme="4"/>
      <name val="Arial"/>
      <family val="2"/>
      <scheme val="minor"/>
    </font>
    <font>
      <b/>
      <sz val="24"/>
      <color theme="4"/>
      <name val="Arial"/>
      <family val="2"/>
      <scheme val="minor"/>
    </font>
    <font>
      <b/>
      <sz val="26"/>
      <color theme="4"/>
      <name val="Arial"/>
      <family val="2"/>
      <scheme val="maj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sz val="10"/>
      <color rgb="FF105C91"/>
      <name val="Calibri"/>
      <family val="2"/>
    </font>
    <font>
      <b/>
      <sz val="12"/>
      <color theme="0"/>
      <name val="Calibri"/>
      <family val="2"/>
    </font>
    <font>
      <b/>
      <sz val="10.5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4"/>
      <color theme="1" tint="0.249977111117893"/>
      <name val="Calibri"/>
      <family val="2"/>
    </font>
    <font>
      <b/>
      <sz val="14"/>
      <color theme="0"/>
      <name val="Calibri"/>
      <family val="2"/>
    </font>
    <font>
      <sz val="11"/>
      <color rgb="FF105C91"/>
      <name val="Calibri"/>
      <family val="2"/>
    </font>
    <font>
      <sz val="12"/>
      <name val="Calibri"/>
      <family val="2"/>
    </font>
    <font>
      <b/>
      <sz val="36"/>
      <color rgb="FF00A48E"/>
      <name val="Montserrat"/>
    </font>
    <font>
      <b/>
      <sz val="16"/>
      <color theme="0"/>
      <name val="Calibri"/>
      <family val="2"/>
    </font>
    <font>
      <b/>
      <u/>
      <sz val="14"/>
      <color rgb="FF007E6C"/>
      <name val="Calibri"/>
      <family val="2"/>
    </font>
    <font>
      <b/>
      <sz val="12"/>
      <color theme="1"/>
      <name val="Calibri"/>
      <family val="2"/>
    </font>
    <font>
      <sz val="14"/>
      <name val="Calibri"/>
      <family val="2"/>
    </font>
    <font>
      <sz val="11"/>
      <color rgb="FF007E6C"/>
      <name val="Calibri"/>
      <family val="2"/>
    </font>
    <font>
      <b/>
      <sz val="11"/>
      <color rgb="FF007E6C"/>
      <name val="Calibri"/>
      <family val="2"/>
    </font>
    <font>
      <b/>
      <sz val="10"/>
      <color rgb="FF007E6C"/>
      <name val="Calibri"/>
      <family val="2"/>
    </font>
    <font>
      <u/>
      <sz val="12"/>
      <color rgb="FF007E6C"/>
      <name val="Calibri"/>
      <family val="2"/>
    </font>
    <font>
      <u/>
      <vertAlign val="superscript"/>
      <sz val="12"/>
      <color rgb="FF007E6C"/>
      <name val="Calibri"/>
      <family val="2"/>
    </font>
    <font>
      <sz val="12"/>
      <color rgb="FF007E6C"/>
      <name val="Calibri"/>
      <family val="2"/>
    </font>
    <font>
      <b/>
      <sz val="28"/>
      <color rgb="FF007E6C"/>
      <name val="Calibri"/>
      <family val="2"/>
    </font>
    <font>
      <b/>
      <sz val="11"/>
      <name val="Calibri"/>
      <family val="2"/>
    </font>
    <font>
      <b/>
      <sz val="22"/>
      <color theme="0"/>
      <name val="Calibri"/>
      <family val="2"/>
    </font>
    <font>
      <b/>
      <sz val="26"/>
      <color theme="0"/>
      <name val="Calibri"/>
      <family val="2"/>
    </font>
    <font>
      <b/>
      <sz val="16"/>
      <color rgb="FF007E6C"/>
      <name val="Calibri"/>
      <family val="2"/>
    </font>
    <font>
      <sz val="10"/>
      <color theme="0"/>
      <name val="Calibri"/>
      <family val="2"/>
    </font>
    <font>
      <sz val="11"/>
      <color theme="1"/>
      <name val="Calibri"/>
      <family val="2"/>
    </font>
    <font>
      <sz val="22"/>
      <name val="Calibri"/>
      <family val="2"/>
    </font>
    <font>
      <sz val="10"/>
      <color theme="1"/>
      <name val="Arial"/>
      <family val="2"/>
      <scheme val="minor"/>
    </font>
    <font>
      <b/>
      <sz val="10"/>
      <name val="Calibri"/>
      <family val="2"/>
    </font>
    <font>
      <u/>
      <sz val="10"/>
      <color theme="10"/>
      <name val="Arial"/>
      <family val="2"/>
      <scheme val="minor"/>
    </font>
    <font>
      <b/>
      <sz val="1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00A48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FFE5E5"/>
        <bgColor indexed="64"/>
      </patternFill>
    </fill>
  </fills>
  <borders count="49">
    <border>
      <left/>
      <right/>
      <top/>
      <bottom/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105C91"/>
      </left>
      <right style="thin">
        <color rgb="FF105C91"/>
      </right>
      <top style="thin">
        <color rgb="FF105C91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theme="4" tint="0.79989013336588644"/>
      </right>
      <top/>
      <bottom/>
      <diagonal/>
    </border>
    <border>
      <left style="thin">
        <color rgb="FFAEF0EA"/>
      </left>
      <right/>
      <top/>
      <bottom style="thin">
        <color rgb="FFFF0000"/>
      </bottom>
      <diagonal/>
    </border>
    <border>
      <left style="thin">
        <color rgb="FFAEF0EA"/>
      </left>
      <right/>
      <top/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/>
      <bottom/>
      <diagonal/>
    </border>
    <border>
      <left style="medium">
        <color rgb="FFFF0000"/>
      </left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 style="thin">
        <color theme="4" tint="0.79989013336588644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textRotation="90"/>
    </xf>
    <xf numFmtId="0" fontId="39" fillId="0" borderId="0" applyNumberFormat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26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vertical="top"/>
    </xf>
    <xf numFmtId="0" fontId="8" fillId="0" borderId="0" xfId="0" applyFont="1"/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13" fillId="0" borderId="0" xfId="0" applyFont="1"/>
    <xf numFmtId="0" fontId="6" fillId="5" borderId="0" xfId="0" applyFont="1" applyFill="1"/>
    <xf numFmtId="0" fontId="21" fillId="6" borderId="0" xfId="0" applyFont="1" applyFill="1" applyAlignment="1">
      <alignment wrapText="1"/>
    </xf>
    <xf numFmtId="0" fontId="6" fillId="7" borderId="0" xfId="0" applyFont="1" applyFill="1" applyAlignment="1">
      <alignment wrapText="1"/>
    </xf>
    <xf numFmtId="0" fontId="20" fillId="3" borderId="0" xfId="0" applyFont="1" applyFill="1"/>
    <xf numFmtId="0" fontId="22" fillId="3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left" vertical="top" wrapText="1"/>
    </xf>
    <xf numFmtId="0" fontId="22" fillId="3" borderId="0" xfId="0" applyFont="1" applyFill="1" applyAlignment="1">
      <alignment horizontal="left" vertical="top" wrapText="1"/>
    </xf>
    <xf numFmtId="0" fontId="19" fillId="3" borderId="0" xfId="0" applyFont="1" applyFill="1" applyAlignment="1">
      <alignment horizontal="left" vertical="top" wrapText="1"/>
    </xf>
    <xf numFmtId="0" fontId="7" fillId="3" borderId="0" xfId="0" quotePrefix="1" applyFont="1" applyFill="1" applyAlignment="1">
      <alignment wrapText="1"/>
    </xf>
    <xf numFmtId="0" fontId="6" fillId="3" borderId="0" xfId="0" applyFont="1" applyFill="1" applyAlignment="1">
      <alignment vertical="top" wrapText="1"/>
    </xf>
    <xf numFmtId="0" fontId="6" fillId="3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2" borderId="0" xfId="0" applyFont="1" applyFill="1" applyAlignment="1">
      <alignment vertical="top"/>
    </xf>
    <xf numFmtId="0" fontId="6" fillId="2" borderId="0" xfId="0" applyFont="1" applyFill="1"/>
    <xf numFmtId="0" fontId="9" fillId="5" borderId="0" xfId="0" applyFont="1" applyFill="1" applyAlignment="1">
      <alignment horizontal="right" vertical="center"/>
    </xf>
    <xf numFmtId="15" fontId="9" fillId="5" borderId="0" xfId="0" applyNumberFormat="1" applyFont="1" applyFill="1" applyAlignment="1" applyProtection="1">
      <alignment horizontal="center" vertical="center"/>
      <protection locked="0"/>
    </xf>
    <xf numFmtId="14" fontId="9" fillId="2" borderId="0" xfId="0" applyNumberFormat="1" applyFont="1" applyFill="1" applyAlignment="1">
      <alignment horizontal="left"/>
    </xf>
    <xf numFmtId="0" fontId="18" fillId="0" borderId="6" xfId="5" applyFont="1" applyBorder="1" applyAlignment="1" applyProtection="1">
      <alignment horizontal="center" vertical="center"/>
    </xf>
    <xf numFmtId="0" fontId="25" fillId="0" borderId="6" xfId="5" applyFont="1" applyBorder="1" applyAlignment="1" applyProtection="1">
      <alignment horizontal="center" vertical="center"/>
    </xf>
    <xf numFmtId="0" fontId="26" fillId="0" borderId="6" xfId="5" applyFont="1" applyBorder="1" applyAlignment="1" applyProtection="1">
      <alignment horizontal="center" vertical="center"/>
    </xf>
    <xf numFmtId="0" fontId="27" fillId="0" borderId="6" xfId="5" applyFont="1" applyBorder="1" applyAlignment="1" applyProtection="1">
      <alignment horizontal="center" vertical="center"/>
    </xf>
    <xf numFmtId="0" fontId="22" fillId="3" borderId="0" xfId="0" applyFont="1" applyFill="1"/>
    <xf numFmtId="0" fontId="28" fillId="3" borderId="0" xfId="0" applyFont="1" applyFill="1" applyAlignment="1">
      <alignment horizontal="left" vertical="top"/>
    </xf>
    <xf numFmtId="0" fontId="28" fillId="3" borderId="0" xfId="0" applyFont="1" applyFill="1" applyAlignment="1">
      <alignment horizontal="left" vertical="top" wrapText="1"/>
    </xf>
    <xf numFmtId="164" fontId="12" fillId="0" borderId="0" xfId="0" applyNumberFormat="1" applyFont="1" applyAlignment="1">
      <alignment horizontal="left" vertical="center" wrapText="1" indent="1"/>
    </xf>
    <xf numFmtId="0" fontId="8" fillId="5" borderId="0" xfId="0" applyFont="1" applyFill="1"/>
    <xf numFmtId="0" fontId="8" fillId="2" borderId="0" xfId="0" applyFont="1" applyFill="1"/>
    <xf numFmtId="0" fontId="15" fillId="5" borderId="0" xfId="0" applyFont="1" applyFill="1"/>
    <xf numFmtId="0" fontId="8" fillId="7" borderId="0" xfId="0" applyFont="1" applyFill="1"/>
    <xf numFmtId="0" fontId="17" fillId="6" borderId="3" xfId="0" applyFont="1" applyFill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 wrapText="1"/>
    </xf>
    <xf numFmtId="164" fontId="16" fillId="8" borderId="3" xfId="0" applyNumberFormat="1" applyFont="1" applyFill="1" applyBorder="1" applyAlignment="1">
      <alignment horizontal="center" vertical="center" wrapText="1"/>
    </xf>
    <xf numFmtId="164" fontId="24" fillId="8" borderId="3" xfId="0" applyNumberFormat="1" applyFont="1" applyFill="1" applyBorder="1" applyAlignment="1">
      <alignment horizontal="center" vertical="center" wrapText="1"/>
    </xf>
    <xf numFmtId="164" fontId="16" fillId="2" borderId="3" xfId="0" applyNumberFormat="1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/>
    </xf>
    <xf numFmtId="14" fontId="9" fillId="2" borderId="12" xfId="0" applyNumberFormat="1" applyFont="1" applyFill="1" applyBorder="1" applyAlignment="1">
      <alignment horizontal="left"/>
    </xf>
    <xf numFmtId="0" fontId="18" fillId="0" borderId="4" xfId="5" applyFont="1" applyBorder="1" applyAlignment="1" applyProtection="1">
      <alignment horizontal="center" vertical="center"/>
    </xf>
    <xf numFmtId="0" fontId="26" fillId="0" borderId="22" xfId="5" applyFont="1" applyBorder="1" applyAlignment="1" applyProtection="1">
      <alignment horizontal="center" vertical="center"/>
    </xf>
    <xf numFmtId="0" fontId="18" fillId="0" borderId="25" xfId="5" applyFont="1" applyBorder="1" applyAlignment="1" applyProtection="1">
      <alignment horizontal="center" vertical="center"/>
    </xf>
    <xf numFmtId="0" fontId="8" fillId="7" borderId="5" xfId="0" applyFont="1" applyFill="1" applyBorder="1"/>
    <xf numFmtId="0" fontId="18" fillId="0" borderId="22" xfId="5" applyFont="1" applyBorder="1" applyAlignment="1" applyProtection="1">
      <alignment horizontal="center" vertical="center"/>
    </xf>
    <xf numFmtId="0" fontId="35" fillId="2" borderId="0" xfId="2" applyFont="1" applyFill="1" applyBorder="1" applyAlignment="1">
      <alignment vertical="center" textRotation="90"/>
    </xf>
    <xf numFmtId="0" fontId="26" fillId="0" borderId="25" xfId="5" applyFont="1" applyBorder="1" applyAlignment="1" applyProtection="1">
      <alignment horizontal="center" vertical="center"/>
    </xf>
    <xf numFmtId="0" fontId="27" fillId="0" borderId="25" xfId="5" applyFont="1" applyBorder="1" applyAlignment="1" applyProtection="1">
      <alignment horizontal="center" vertical="center"/>
    </xf>
    <xf numFmtId="0" fontId="23" fillId="9" borderId="25" xfId="3" applyFont="1" applyFill="1" applyBorder="1" applyAlignment="1" applyProtection="1">
      <alignment horizontal="center" vertical="center" wrapText="1"/>
    </xf>
    <xf numFmtId="0" fontId="36" fillId="0" borderId="0" xfId="0" applyFont="1" applyAlignment="1">
      <alignment horizontal="right" vertical="top"/>
    </xf>
    <xf numFmtId="0" fontId="36" fillId="0" borderId="0" xfId="0" applyFont="1" applyAlignment="1">
      <alignment horizontal="left" vertical="center"/>
    </xf>
    <xf numFmtId="0" fontId="23" fillId="9" borderId="26" xfId="3" applyFont="1" applyFill="1" applyBorder="1" applyAlignment="1" applyProtection="1">
      <alignment horizontal="center" vertical="center" wrapText="1"/>
    </xf>
    <xf numFmtId="0" fontId="10" fillId="0" borderId="25" xfId="5" applyFont="1" applyBorder="1" applyAlignment="1" applyProtection="1">
      <alignment horizontal="center" vertical="center"/>
    </xf>
    <xf numFmtId="0" fontId="18" fillId="4" borderId="25" xfId="5" applyFont="1" applyFill="1" applyBorder="1" applyAlignment="1" applyProtection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164" fontId="16" fillId="0" borderId="28" xfId="0" applyNumberFormat="1" applyFont="1" applyBorder="1" applyAlignment="1">
      <alignment horizontal="center" vertical="center" wrapText="1"/>
    </xf>
    <xf numFmtId="164" fontId="16" fillId="8" borderId="28" xfId="0" applyNumberFormat="1" applyFont="1" applyFill="1" applyBorder="1" applyAlignment="1">
      <alignment horizontal="center" vertical="center" wrapText="1"/>
    </xf>
    <xf numFmtId="164" fontId="16" fillId="2" borderId="28" xfId="0" applyNumberFormat="1" applyFont="1" applyFill="1" applyBorder="1" applyAlignment="1">
      <alignment horizontal="center" vertical="center" wrapText="1"/>
    </xf>
    <xf numFmtId="0" fontId="36" fillId="5" borderId="0" xfId="0" applyFont="1" applyFill="1"/>
    <xf numFmtId="164" fontId="16" fillId="10" borderId="3" xfId="0" applyNumberFormat="1" applyFont="1" applyFill="1" applyBorder="1" applyAlignment="1">
      <alignment horizontal="center" vertical="center" wrapText="1"/>
    </xf>
    <xf numFmtId="164" fontId="16" fillId="10" borderId="28" xfId="0" applyNumberFormat="1" applyFont="1" applyFill="1" applyBorder="1" applyAlignment="1">
      <alignment horizontal="center" vertical="center" wrapText="1"/>
    </xf>
    <xf numFmtId="0" fontId="23" fillId="2" borderId="0" xfId="0" applyFont="1" applyFill="1"/>
    <xf numFmtId="0" fontId="23" fillId="2" borderId="5" xfId="0" applyFont="1" applyFill="1" applyBorder="1"/>
    <xf numFmtId="49" fontId="37" fillId="0" borderId="12" xfId="0" applyNumberFormat="1" applyFont="1" applyBorder="1" applyAlignment="1" applyProtection="1">
      <alignment vertical="top" wrapText="1"/>
      <protection locked="0"/>
    </xf>
    <xf numFmtId="49" fontId="37" fillId="0" borderId="0" xfId="0" applyNumberFormat="1" applyFont="1" applyAlignment="1" applyProtection="1">
      <alignment vertical="top" wrapText="1"/>
      <protection locked="0"/>
    </xf>
    <xf numFmtId="164" fontId="16" fillId="9" borderId="3" xfId="0" applyNumberFormat="1" applyFont="1" applyFill="1" applyBorder="1" applyAlignment="1">
      <alignment horizontal="center" vertical="center" wrapText="1"/>
    </xf>
    <xf numFmtId="164" fontId="16" fillId="9" borderId="28" xfId="0" applyNumberFormat="1" applyFont="1" applyFill="1" applyBorder="1" applyAlignment="1">
      <alignment horizontal="center" vertical="center" wrapText="1"/>
    </xf>
    <xf numFmtId="0" fontId="41" fillId="0" borderId="0" xfId="7"/>
    <xf numFmtId="0" fontId="17" fillId="5" borderId="8" xfId="4" applyFont="1" applyFill="1" applyBorder="1" applyAlignment="1">
      <alignment vertical="center"/>
    </xf>
    <xf numFmtId="0" fontId="17" fillId="5" borderId="9" xfId="4" applyFont="1" applyFill="1" applyBorder="1" applyAlignment="1">
      <alignment vertical="center"/>
    </xf>
    <xf numFmtId="0" fontId="6" fillId="3" borderId="0" xfId="0" applyFont="1" applyFill="1" applyAlignment="1">
      <alignment horizontal="left" vertical="top" wrapText="1"/>
    </xf>
    <xf numFmtId="49" fontId="37" fillId="0" borderId="11" xfId="0" applyNumberFormat="1" applyFont="1" applyBorder="1" applyAlignment="1" applyProtection="1">
      <alignment horizontal="left" vertical="top" wrapText="1"/>
      <protection locked="0"/>
    </xf>
    <xf numFmtId="49" fontId="37" fillId="0" borderId="12" xfId="0" applyNumberFormat="1" applyFont="1" applyBorder="1" applyAlignment="1" applyProtection="1">
      <alignment horizontal="left" vertical="top" wrapText="1"/>
      <protection locked="0"/>
    </xf>
    <xf numFmtId="49" fontId="37" fillId="0" borderId="13" xfId="0" applyNumberFormat="1" applyFont="1" applyBorder="1" applyAlignment="1" applyProtection="1">
      <alignment horizontal="left" vertical="top" wrapText="1"/>
      <protection locked="0"/>
    </xf>
    <xf numFmtId="49" fontId="37" fillId="0" borderId="14" xfId="0" applyNumberFormat="1" applyFont="1" applyBorder="1" applyAlignment="1" applyProtection="1">
      <alignment horizontal="left" vertical="top" wrapText="1"/>
      <protection locked="0"/>
    </xf>
    <xf numFmtId="49" fontId="37" fillId="0" borderId="0" xfId="0" applyNumberFormat="1" applyFont="1" applyAlignment="1" applyProtection="1">
      <alignment horizontal="left" vertical="top" wrapText="1"/>
      <protection locked="0"/>
    </xf>
    <xf numFmtId="49" fontId="37" fillId="0" borderId="15" xfId="0" applyNumberFormat="1" applyFont="1" applyBorder="1" applyAlignment="1" applyProtection="1">
      <alignment horizontal="left" vertical="top" wrapText="1"/>
      <protection locked="0"/>
    </xf>
    <xf numFmtId="49" fontId="41" fillId="0" borderId="14" xfId="8" applyNumberFormat="1" applyBorder="1" applyAlignment="1" applyProtection="1">
      <alignment vertical="top" wrapText="1"/>
      <protection locked="0"/>
    </xf>
    <xf numFmtId="49" fontId="41" fillId="0" borderId="0" xfId="8" applyNumberFormat="1" applyBorder="1" applyAlignment="1" applyProtection="1">
      <alignment vertical="top" wrapText="1"/>
      <protection locked="0"/>
    </xf>
    <xf numFmtId="49" fontId="41" fillId="0" borderId="15" xfId="8" applyNumberFormat="1" applyBorder="1" applyAlignment="1" applyProtection="1">
      <alignment vertical="top" wrapText="1"/>
      <protection locked="0"/>
    </xf>
    <xf numFmtId="49" fontId="41" fillId="0" borderId="16" xfId="8" applyNumberFormat="1" applyBorder="1" applyAlignment="1" applyProtection="1">
      <alignment vertical="top" wrapText="1"/>
      <protection locked="0"/>
    </xf>
    <xf numFmtId="49" fontId="41" fillId="0" borderId="5" xfId="8" applyNumberFormat="1" applyBorder="1" applyAlignment="1" applyProtection="1">
      <alignment vertical="top" wrapText="1"/>
      <protection locked="0"/>
    </xf>
    <xf numFmtId="49" fontId="41" fillId="0" borderId="17" xfId="8" applyNumberFormat="1" applyBorder="1" applyAlignment="1" applyProtection="1">
      <alignment vertical="top" wrapText="1"/>
      <protection locked="0"/>
    </xf>
    <xf numFmtId="49" fontId="26" fillId="0" borderId="14" xfId="0" applyNumberFormat="1" applyFont="1" applyBorder="1" applyAlignment="1" applyProtection="1">
      <alignment vertical="center" wrapText="1"/>
      <protection locked="0"/>
    </xf>
    <xf numFmtId="49" fontId="26" fillId="0" borderId="0" xfId="0" applyNumberFormat="1" applyFont="1" applyAlignment="1" applyProtection="1">
      <alignment vertical="center" wrapText="1"/>
      <protection locked="0"/>
    </xf>
    <xf numFmtId="49" fontId="26" fillId="0" borderId="15" xfId="0" applyNumberFormat="1" applyFont="1" applyBorder="1" applyAlignment="1" applyProtection="1">
      <alignment vertical="center" wrapText="1"/>
      <protection locked="0"/>
    </xf>
    <xf numFmtId="0" fontId="15" fillId="11" borderId="39" xfId="5" applyFont="1" applyFill="1" applyBorder="1" applyAlignment="1" applyProtection="1">
      <alignment horizontal="center" vertical="center" wrapText="1"/>
      <protection locked="0"/>
    </xf>
    <xf numFmtId="0" fontId="15" fillId="11" borderId="40" xfId="5" applyFont="1" applyFill="1" applyBorder="1" applyAlignment="1" applyProtection="1">
      <alignment horizontal="center" vertical="center" wrapText="1"/>
      <protection locked="0"/>
    </xf>
    <xf numFmtId="0" fontId="15" fillId="11" borderId="41" xfId="5" applyFont="1" applyFill="1" applyBorder="1" applyAlignment="1" applyProtection="1">
      <alignment horizontal="center" vertical="center" wrapText="1"/>
      <protection locked="0"/>
    </xf>
    <xf numFmtId="0" fontId="15" fillId="11" borderId="14" xfId="5" applyFont="1" applyFill="1" applyBorder="1" applyAlignment="1" applyProtection="1">
      <alignment horizontal="center" vertical="center" wrapText="1"/>
      <protection locked="0"/>
    </xf>
    <xf numFmtId="0" fontId="15" fillId="11" borderId="0" xfId="5" applyFont="1" applyFill="1" applyBorder="1" applyAlignment="1" applyProtection="1">
      <alignment horizontal="center" vertical="center" wrapText="1"/>
      <protection locked="0"/>
    </xf>
    <xf numFmtId="0" fontId="15" fillId="11" borderId="15" xfId="5" applyFont="1" applyFill="1" applyBorder="1" applyAlignment="1" applyProtection="1">
      <alignment horizontal="center" vertical="center" wrapText="1"/>
      <protection locked="0"/>
    </xf>
    <xf numFmtId="0" fontId="15" fillId="11" borderId="42" xfId="5" applyFont="1" applyFill="1" applyBorder="1" applyAlignment="1" applyProtection="1">
      <alignment horizontal="center" vertical="center" wrapText="1"/>
      <protection locked="0"/>
    </xf>
    <xf numFmtId="0" fontId="15" fillId="11" borderId="43" xfId="5" applyFont="1" applyFill="1" applyBorder="1" applyAlignment="1" applyProtection="1">
      <alignment horizontal="center" vertical="center" wrapText="1"/>
      <protection locked="0"/>
    </xf>
    <xf numFmtId="0" fontId="15" fillId="11" borderId="44" xfId="5" applyFont="1" applyFill="1" applyBorder="1" applyAlignment="1" applyProtection="1">
      <alignment horizontal="center" vertical="center" wrapText="1"/>
      <protection locked="0"/>
    </xf>
    <xf numFmtId="0" fontId="42" fillId="0" borderId="36" xfId="5" applyFont="1" applyBorder="1" applyAlignment="1" applyProtection="1">
      <alignment horizontal="left" vertical="center"/>
      <protection locked="0"/>
    </xf>
    <xf numFmtId="0" fontId="42" fillId="0" borderId="37" xfId="5" applyFont="1" applyBorder="1" applyAlignment="1" applyProtection="1">
      <alignment horizontal="left" vertical="center"/>
      <protection locked="0"/>
    </xf>
    <xf numFmtId="0" fontId="42" fillId="0" borderId="38" xfId="5" applyFont="1" applyBorder="1" applyAlignment="1" applyProtection="1">
      <alignment horizontal="left" vertical="center"/>
      <protection locked="0"/>
    </xf>
    <xf numFmtId="0" fontId="15" fillId="0" borderId="39" xfId="5" applyFont="1" applyBorder="1" applyAlignment="1" applyProtection="1">
      <alignment horizontal="left" vertical="center" wrapText="1"/>
      <protection locked="0"/>
    </xf>
    <xf numFmtId="0" fontId="15" fillId="0" borderId="40" xfId="5" applyFont="1" applyBorder="1" applyAlignment="1" applyProtection="1">
      <alignment horizontal="left" vertical="center" wrapText="1"/>
      <protection locked="0"/>
    </xf>
    <xf numFmtId="0" fontId="15" fillId="0" borderId="41" xfId="5" applyFont="1" applyBorder="1" applyAlignment="1" applyProtection="1">
      <alignment horizontal="left" vertical="center" wrapText="1"/>
      <protection locked="0"/>
    </xf>
    <xf numFmtId="0" fontId="15" fillId="0" borderId="14" xfId="5" applyFont="1" applyBorder="1" applyAlignment="1" applyProtection="1">
      <alignment horizontal="left" vertical="center" wrapText="1"/>
      <protection locked="0"/>
    </xf>
    <xf numFmtId="0" fontId="15" fillId="0" borderId="0" xfId="5" applyFont="1" applyBorder="1" applyAlignment="1" applyProtection="1">
      <alignment horizontal="left" vertical="center" wrapText="1"/>
      <protection locked="0"/>
    </xf>
    <xf numFmtId="0" fontId="15" fillId="0" borderId="15" xfId="5" applyFont="1" applyBorder="1" applyAlignment="1" applyProtection="1">
      <alignment horizontal="left" vertical="center" wrapText="1"/>
      <protection locked="0"/>
    </xf>
    <xf numFmtId="0" fontId="15" fillId="0" borderId="42" xfId="5" applyFont="1" applyBorder="1" applyAlignment="1" applyProtection="1">
      <alignment horizontal="left" vertical="center" wrapText="1"/>
      <protection locked="0"/>
    </xf>
    <xf numFmtId="0" fontId="15" fillId="0" borderId="43" xfId="5" applyFont="1" applyBorder="1" applyAlignment="1" applyProtection="1">
      <alignment horizontal="left" vertical="center" wrapText="1"/>
      <protection locked="0"/>
    </xf>
    <xf numFmtId="0" fontId="15" fillId="0" borderId="44" xfId="5" applyFont="1" applyBorder="1" applyAlignment="1" applyProtection="1">
      <alignment horizontal="left" vertical="center" wrapText="1"/>
      <protection locked="0"/>
    </xf>
    <xf numFmtId="0" fontId="15" fillId="11" borderId="39" xfId="0" applyFont="1" applyFill="1" applyBorder="1" applyAlignment="1" applyProtection="1">
      <alignment horizontal="center" vertical="center" wrapText="1"/>
      <protection locked="0"/>
    </xf>
    <xf numFmtId="0" fontId="15" fillId="11" borderId="46" xfId="0" applyFont="1" applyFill="1" applyBorder="1" applyAlignment="1" applyProtection="1">
      <alignment horizontal="center" vertical="center" wrapText="1"/>
      <protection locked="0"/>
    </xf>
    <xf numFmtId="0" fontId="15" fillId="11" borderId="14" xfId="0" applyFont="1" applyFill="1" applyBorder="1" applyAlignment="1" applyProtection="1">
      <alignment horizontal="center" vertical="center" wrapText="1"/>
      <protection locked="0"/>
    </xf>
    <xf numFmtId="0" fontId="15" fillId="11" borderId="47" xfId="0" applyFont="1" applyFill="1" applyBorder="1" applyAlignment="1" applyProtection="1">
      <alignment horizontal="center" vertical="center" wrapText="1"/>
      <protection locked="0"/>
    </xf>
    <xf numFmtId="0" fontId="15" fillId="11" borderId="42" xfId="0" applyFont="1" applyFill="1" applyBorder="1" applyAlignment="1" applyProtection="1">
      <alignment horizontal="center" vertical="center" wrapText="1"/>
      <protection locked="0"/>
    </xf>
    <xf numFmtId="0" fontId="15" fillId="11" borderId="48" xfId="0" applyFont="1" applyFill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left" vertical="center" wrapText="1"/>
      <protection locked="0"/>
    </xf>
    <xf numFmtId="0" fontId="15" fillId="0" borderId="46" xfId="0" applyFont="1" applyBorder="1" applyAlignment="1" applyProtection="1">
      <alignment horizontal="left" vertical="center" wrapText="1"/>
      <protection locked="0"/>
    </xf>
    <xf numFmtId="0" fontId="15" fillId="0" borderId="14" xfId="0" applyFont="1" applyBorder="1" applyAlignment="1" applyProtection="1">
      <alignment horizontal="left" vertical="center" wrapText="1"/>
      <protection locked="0"/>
    </xf>
    <xf numFmtId="0" fontId="15" fillId="0" borderId="47" xfId="0" applyFont="1" applyBorder="1" applyAlignment="1" applyProtection="1">
      <alignment horizontal="left" vertical="center" wrapText="1"/>
      <protection locked="0"/>
    </xf>
    <xf numFmtId="0" fontId="15" fillId="0" borderId="42" xfId="0" applyFont="1" applyBorder="1" applyAlignment="1" applyProtection="1">
      <alignment horizontal="left" vertical="center" wrapText="1"/>
      <protection locked="0"/>
    </xf>
    <xf numFmtId="0" fontId="15" fillId="0" borderId="48" xfId="0" applyFont="1" applyBorder="1" applyAlignment="1" applyProtection="1">
      <alignment horizontal="left" vertical="center" wrapText="1"/>
      <protection locked="0"/>
    </xf>
    <xf numFmtId="0" fontId="8" fillId="0" borderId="39" xfId="5" applyFont="1" applyBorder="1" applyAlignment="1" applyProtection="1">
      <alignment horizontal="left" vertical="center" wrapText="1"/>
      <protection locked="0"/>
    </xf>
    <xf numFmtId="0" fontId="8" fillId="0" borderId="40" xfId="5" applyFont="1" applyBorder="1" applyAlignment="1" applyProtection="1">
      <alignment horizontal="left" vertical="center" wrapText="1"/>
      <protection locked="0"/>
    </xf>
    <xf numFmtId="0" fontId="8" fillId="0" borderId="41" xfId="5" applyFont="1" applyBorder="1" applyAlignment="1" applyProtection="1">
      <alignment horizontal="left" vertical="center" wrapText="1"/>
      <protection locked="0"/>
    </xf>
    <xf numFmtId="0" fontId="8" fillId="0" borderId="14" xfId="5" applyFont="1" applyBorder="1" applyAlignment="1" applyProtection="1">
      <alignment horizontal="left" vertical="center" wrapText="1"/>
      <protection locked="0"/>
    </xf>
    <xf numFmtId="0" fontId="8" fillId="0" borderId="0" xfId="5" applyFont="1" applyBorder="1" applyAlignment="1" applyProtection="1">
      <alignment horizontal="left" vertical="center" wrapText="1"/>
      <protection locked="0"/>
    </xf>
    <xf numFmtId="0" fontId="8" fillId="0" borderId="15" xfId="5" applyFont="1" applyBorder="1" applyAlignment="1" applyProtection="1">
      <alignment horizontal="left" vertical="center" wrapText="1"/>
      <protection locked="0"/>
    </xf>
    <xf numFmtId="0" fontId="8" fillId="0" borderId="42" xfId="5" applyFont="1" applyBorder="1" applyAlignment="1" applyProtection="1">
      <alignment horizontal="left" vertical="center" wrapText="1"/>
      <protection locked="0"/>
    </xf>
    <xf numFmtId="0" fontId="8" fillId="0" borderId="43" xfId="5" applyFont="1" applyBorder="1" applyAlignment="1" applyProtection="1">
      <alignment horizontal="left" vertical="center" wrapText="1"/>
      <protection locked="0"/>
    </xf>
    <xf numFmtId="0" fontId="8" fillId="0" borderId="44" xfId="5" applyFont="1" applyBorder="1" applyAlignment="1" applyProtection="1">
      <alignment horizontal="left" vertical="center" wrapText="1"/>
      <protection locked="0"/>
    </xf>
    <xf numFmtId="49" fontId="17" fillId="6" borderId="11" xfId="0" applyNumberFormat="1" applyFont="1" applyFill="1" applyBorder="1" applyAlignment="1">
      <alignment horizontal="center" vertical="center"/>
    </xf>
    <xf numFmtId="49" fontId="17" fillId="6" borderId="12" xfId="0" applyNumberFormat="1" applyFont="1" applyFill="1" applyBorder="1" applyAlignment="1">
      <alignment horizontal="center" vertical="center"/>
    </xf>
    <xf numFmtId="49" fontId="17" fillId="6" borderId="13" xfId="0" applyNumberFormat="1" applyFont="1" applyFill="1" applyBorder="1" applyAlignment="1">
      <alignment horizontal="center" vertical="center"/>
    </xf>
    <xf numFmtId="49" fontId="17" fillId="6" borderId="16" xfId="0" applyNumberFormat="1" applyFont="1" applyFill="1" applyBorder="1" applyAlignment="1">
      <alignment horizontal="center" vertical="center"/>
    </xf>
    <xf numFmtId="49" fontId="17" fillId="6" borderId="5" xfId="0" applyNumberFormat="1" applyFont="1" applyFill="1" applyBorder="1" applyAlignment="1">
      <alignment horizontal="center" vertical="center"/>
    </xf>
    <xf numFmtId="49" fontId="17" fillId="6" borderId="17" xfId="0" applyNumberFormat="1" applyFont="1" applyFill="1" applyBorder="1" applyAlignment="1">
      <alignment horizontal="center" vertical="center"/>
    </xf>
    <xf numFmtId="49" fontId="11" fillId="5" borderId="8" xfId="0" applyNumberFormat="1" applyFont="1" applyFill="1" applyBorder="1" applyAlignment="1">
      <alignment horizontal="center" vertical="center"/>
    </xf>
    <xf numFmtId="49" fontId="11" fillId="5" borderId="9" xfId="0" applyNumberFormat="1" applyFont="1" applyFill="1" applyBorder="1" applyAlignment="1">
      <alignment horizontal="center" vertical="center"/>
    </xf>
    <xf numFmtId="49" fontId="11" fillId="5" borderId="10" xfId="0" applyNumberFormat="1" applyFont="1" applyFill="1" applyBorder="1" applyAlignment="1">
      <alignment horizontal="center" vertical="center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center" wrapText="1"/>
      <protection locked="0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2" borderId="8" xfId="0" applyFont="1" applyFill="1" applyBorder="1" applyAlignment="1" applyProtection="1">
      <alignment horizontal="left" vertical="center" wrapText="1"/>
      <protection locked="0"/>
    </xf>
    <xf numFmtId="0" fontId="15" fillId="2" borderId="9" xfId="0" applyFont="1" applyFill="1" applyBorder="1" applyAlignment="1" applyProtection="1">
      <alignment horizontal="left" vertical="center" wrapText="1"/>
      <protection locked="0"/>
    </xf>
    <xf numFmtId="0" fontId="15" fillId="2" borderId="10" xfId="0" applyFont="1" applyFill="1" applyBorder="1" applyAlignment="1" applyProtection="1">
      <alignment horizontal="left" vertical="center" wrapText="1"/>
      <protection locked="0"/>
    </xf>
    <xf numFmtId="0" fontId="23" fillId="9" borderId="27" xfId="3" applyFont="1" applyFill="1" applyBorder="1" applyAlignment="1">
      <alignment horizontal="center" vertical="center"/>
    </xf>
    <xf numFmtId="0" fontId="23" fillId="9" borderId="45" xfId="3" applyFont="1" applyFill="1" applyBorder="1" applyAlignment="1">
      <alignment horizontal="center" vertical="center"/>
    </xf>
    <xf numFmtId="0" fontId="35" fillId="10" borderId="21" xfId="2" applyFont="1" applyFill="1" applyBorder="1" applyAlignment="1">
      <alignment horizontal="center" vertical="center" textRotation="90"/>
    </xf>
    <xf numFmtId="0" fontId="35" fillId="10" borderId="23" xfId="2" applyFont="1" applyFill="1" applyBorder="1" applyAlignment="1">
      <alignment horizontal="center" vertical="center" textRotation="90"/>
    </xf>
    <xf numFmtId="0" fontId="35" fillId="10" borderId="24" xfId="2" applyFont="1" applyFill="1" applyBorder="1" applyAlignment="1">
      <alignment horizontal="center" vertical="center" textRotation="90"/>
    </xf>
    <xf numFmtId="0" fontId="33" fillId="5" borderId="0" xfId="0" applyFont="1" applyFill="1" applyAlignment="1">
      <alignment horizontal="center" vertical="center" textRotation="90"/>
    </xf>
    <xf numFmtId="0" fontId="38" fillId="5" borderId="0" xfId="0" applyFont="1" applyFill="1" applyAlignment="1">
      <alignment horizontal="center" vertical="center" textRotation="90"/>
    </xf>
    <xf numFmtId="0" fontId="35" fillId="9" borderId="21" xfId="2" applyFont="1" applyFill="1" applyBorder="1" applyAlignment="1">
      <alignment horizontal="center" vertical="center" textRotation="90"/>
    </xf>
    <xf numFmtId="0" fontId="35" fillId="9" borderId="23" xfId="2" applyFont="1" applyFill="1" applyBorder="1" applyAlignment="1">
      <alignment horizontal="center" vertical="center" textRotation="90"/>
    </xf>
    <xf numFmtId="0" fontId="35" fillId="9" borderId="24" xfId="2" applyFont="1" applyFill="1" applyBorder="1" applyAlignment="1">
      <alignment horizontal="center" vertical="center" textRotation="90"/>
    </xf>
    <xf numFmtId="0" fontId="17" fillId="5" borderId="8" xfId="4" applyFont="1" applyFill="1" applyBorder="1" applyAlignment="1">
      <alignment horizontal="center" vertical="center"/>
    </xf>
    <xf numFmtId="0" fontId="17" fillId="5" borderId="9" xfId="4" applyFont="1" applyFill="1" applyBorder="1" applyAlignment="1">
      <alignment horizontal="center" vertical="center"/>
    </xf>
    <xf numFmtId="0" fontId="17" fillId="5" borderId="10" xfId="4" applyFont="1" applyFill="1" applyBorder="1" applyAlignment="1">
      <alignment horizontal="center" vertical="center"/>
    </xf>
    <xf numFmtId="0" fontId="23" fillId="9" borderId="25" xfId="3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31" fillId="0" borderId="20" xfId="2" applyFont="1" applyFill="1" applyBorder="1" applyAlignment="1">
      <alignment horizontal="center" vertical="center" textRotation="90"/>
    </xf>
    <xf numFmtId="0" fontId="31" fillId="0" borderId="19" xfId="2" applyFont="1" applyFill="1" applyBorder="1" applyAlignment="1">
      <alignment horizontal="center" vertical="center" textRotation="90"/>
    </xf>
    <xf numFmtId="0" fontId="34" fillId="5" borderId="35" xfId="3" applyFont="1" applyFill="1" applyBorder="1" applyAlignment="1">
      <alignment horizontal="center" vertical="center"/>
    </xf>
    <xf numFmtId="0" fontId="34" fillId="5" borderId="0" xfId="3" applyFont="1" applyFill="1" applyBorder="1" applyAlignment="1">
      <alignment horizontal="center" vertical="center"/>
    </xf>
    <xf numFmtId="0" fontId="14" fillId="11" borderId="36" xfId="5" applyFont="1" applyFill="1" applyBorder="1" applyAlignment="1" applyProtection="1">
      <alignment horizontal="center" vertical="center"/>
      <protection locked="0"/>
    </xf>
    <xf numFmtId="0" fontId="14" fillId="11" borderId="37" xfId="5" applyFont="1" applyFill="1" applyBorder="1" applyAlignment="1" applyProtection="1">
      <alignment horizontal="center" vertical="center"/>
      <protection locked="0"/>
    </xf>
    <xf numFmtId="0" fontId="14" fillId="11" borderId="38" xfId="5" applyFont="1" applyFill="1" applyBorder="1" applyAlignment="1" applyProtection="1">
      <alignment horizontal="center" vertical="center"/>
      <protection locked="0"/>
    </xf>
    <xf numFmtId="0" fontId="32" fillId="0" borderId="36" xfId="5" applyFont="1" applyBorder="1" applyAlignment="1" applyProtection="1">
      <alignment horizontal="left" vertical="center"/>
      <protection locked="0"/>
    </xf>
    <xf numFmtId="0" fontId="32" fillId="0" borderId="37" xfId="5" applyFont="1" applyBorder="1" applyAlignment="1" applyProtection="1">
      <alignment horizontal="left" vertical="center"/>
      <protection locked="0"/>
    </xf>
    <xf numFmtId="0" fontId="32" fillId="0" borderId="38" xfId="5" applyFont="1" applyBorder="1" applyAlignment="1" applyProtection="1">
      <alignment horizontal="left" vertical="center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41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10" fillId="0" borderId="39" xfId="5" applyFont="1" applyBorder="1" applyAlignment="1" applyProtection="1">
      <alignment horizontal="center" vertical="center"/>
    </xf>
    <xf numFmtId="0" fontId="10" fillId="0" borderId="40" xfId="5" applyFont="1" applyBorder="1" applyAlignment="1" applyProtection="1">
      <alignment horizontal="center" vertical="center"/>
    </xf>
    <xf numFmtId="0" fontId="10" fillId="0" borderId="41" xfId="5" applyFont="1" applyBorder="1" applyAlignment="1" applyProtection="1">
      <alignment horizontal="center" vertical="center"/>
    </xf>
    <xf numFmtId="0" fontId="10" fillId="0" borderId="16" xfId="5" applyFont="1" applyBorder="1" applyAlignment="1" applyProtection="1">
      <alignment horizontal="center" vertical="center"/>
    </xf>
    <xf numFmtId="0" fontId="10" fillId="0" borderId="5" xfId="5" applyFont="1" applyBorder="1" applyAlignment="1" applyProtection="1">
      <alignment horizontal="center" vertical="center"/>
    </xf>
    <xf numFmtId="0" fontId="10" fillId="0" borderId="17" xfId="5" applyFont="1" applyBorder="1" applyAlignment="1" applyProtection="1">
      <alignment horizontal="center" vertical="center"/>
    </xf>
    <xf numFmtId="0" fontId="15" fillId="0" borderId="39" xfId="5" applyFont="1" applyBorder="1" applyAlignment="1" applyProtection="1">
      <alignment horizontal="center" vertical="center" wrapText="1"/>
      <protection locked="0"/>
    </xf>
    <xf numFmtId="0" fontId="15" fillId="0" borderId="40" xfId="5" applyFont="1" applyBorder="1" applyAlignment="1" applyProtection="1">
      <alignment horizontal="center" vertical="center" wrapText="1"/>
      <protection locked="0"/>
    </xf>
    <xf numFmtId="0" fontId="15" fillId="0" borderId="41" xfId="5" applyFont="1" applyBorder="1" applyAlignment="1" applyProtection="1">
      <alignment horizontal="center" vertical="center" wrapText="1"/>
      <protection locked="0"/>
    </xf>
    <xf numFmtId="0" fontId="15" fillId="0" borderId="16" xfId="5" applyFont="1" applyBorder="1" applyAlignment="1" applyProtection="1">
      <alignment horizontal="center" vertical="center" wrapText="1"/>
      <protection locked="0"/>
    </xf>
    <xf numFmtId="0" fontId="15" fillId="0" borderId="5" xfId="5" applyFont="1" applyBorder="1" applyAlignment="1" applyProtection="1">
      <alignment horizontal="center" vertical="center" wrapText="1"/>
      <protection locked="0"/>
    </xf>
    <xf numFmtId="0" fontId="15" fillId="0" borderId="17" xfId="5" applyFont="1" applyBorder="1" applyAlignment="1" applyProtection="1">
      <alignment horizontal="center" vertical="center" wrapText="1"/>
      <protection locked="0"/>
    </xf>
    <xf numFmtId="0" fontId="32" fillId="0" borderId="36" xfId="5" applyFont="1" applyBorder="1" applyAlignment="1" applyProtection="1">
      <alignment vertical="center" wrapText="1"/>
      <protection locked="0"/>
    </xf>
    <xf numFmtId="0" fontId="32" fillId="0" borderId="37" xfId="5" applyFont="1" applyBorder="1" applyAlignment="1" applyProtection="1">
      <alignment vertical="center"/>
      <protection locked="0"/>
    </xf>
    <xf numFmtId="0" fontId="32" fillId="0" borderId="38" xfId="5" applyFont="1" applyBorder="1" applyAlignment="1" applyProtection="1">
      <alignment vertical="center"/>
      <protection locked="0"/>
    </xf>
    <xf numFmtId="0" fontId="23" fillId="9" borderId="8" xfId="0" applyFont="1" applyFill="1" applyBorder="1" applyAlignment="1">
      <alignment horizontal="center"/>
    </xf>
    <xf numFmtId="0" fontId="23" fillId="9" borderId="9" xfId="0" applyFont="1" applyFill="1" applyBorder="1" applyAlignment="1">
      <alignment horizontal="center"/>
    </xf>
    <xf numFmtId="0" fontId="23" fillId="9" borderId="10" xfId="0" applyFont="1" applyFill="1" applyBorder="1" applyAlignment="1">
      <alignment horizontal="center"/>
    </xf>
    <xf numFmtId="0" fontId="23" fillId="9" borderId="26" xfId="3" applyFont="1" applyFill="1" applyBorder="1" applyAlignment="1">
      <alignment horizontal="center" vertical="center" wrapText="1"/>
    </xf>
    <xf numFmtId="0" fontId="34" fillId="5" borderId="2" xfId="3" applyFont="1" applyFill="1" applyBorder="1" applyAlignment="1">
      <alignment horizontal="center" vertical="center"/>
    </xf>
    <xf numFmtId="0" fontId="34" fillId="5" borderId="1" xfId="3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/>
    </xf>
    <xf numFmtId="0" fontId="8" fillId="0" borderId="14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8" fillId="0" borderId="17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17" fillId="6" borderId="9" xfId="4" applyFont="1" applyFill="1" applyBorder="1" applyAlignment="1">
      <alignment horizontal="center" vertical="center" wrapText="1"/>
    </xf>
    <xf numFmtId="0" fontId="17" fillId="6" borderId="9" xfId="4" applyFont="1" applyFill="1" applyBorder="1" applyAlignment="1">
      <alignment horizontal="center" vertical="center"/>
    </xf>
    <xf numFmtId="0" fontId="17" fillId="6" borderId="10" xfId="4" applyFont="1" applyFill="1" applyBorder="1" applyAlignment="1">
      <alignment horizontal="center" vertical="center"/>
    </xf>
    <xf numFmtId="0" fontId="14" fillId="0" borderId="36" xfId="5" applyFont="1" applyBorder="1" applyAlignment="1" applyProtection="1">
      <alignment horizontal="center" vertical="center"/>
      <protection locked="0"/>
    </xf>
    <xf numFmtId="0" fontId="14" fillId="0" borderId="4" xfId="5" applyFont="1" applyBorder="1" applyAlignment="1" applyProtection="1">
      <alignment horizontal="center" vertical="center"/>
      <protection locked="0"/>
    </xf>
    <xf numFmtId="0" fontId="15" fillId="0" borderId="16" xfId="5" applyFont="1" applyBorder="1" applyAlignment="1" applyProtection="1">
      <alignment horizontal="left" vertical="center" wrapText="1"/>
      <protection locked="0"/>
    </xf>
    <xf numFmtId="0" fontId="15" fillId="0" borderId="5" xfId="5" applyFont="1" applyBorder="1" applyAlignment="1" applyProtection="1">
      <alignment horizontal="left" vertical="center" wrapText="1"/>
      <protection locked="0"/>
    </xf>
    <xf numFmtId="0" fontId="15" fillId="0" borderId="17" xfId="5" applyFont="1" applyBorder="1" applyAlignment="1" applyProtection="1">
      <alignment horizontal="left" vertical="center" wrapText="1"/>
      <protection locked="0"/>
    </xf>
    <xf numFmtId="0" fontId="15" fillId="0" borderId="41" xfId="0" applyFont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5" fillId="0" borderId="17" xfId="0" applyFont="1" applyBorder="1" applyAlignment="1" applyProtection="1">
      <alignment horizontal="left" vertical="center" wrapText="1"/>
      <protection locked="0"/>
    </xf>
    <xf numFmtId="0" fontId="8" fillId="0" borderId="33" xfId="0" applyFont="1" applyBorder="1" applyAlignment="1">
      <alignment horizontal="center" vertical="top"/>
    </xf>
    <xf numFmtId="0" fontId="8" fillId="0" borderId="34" xfId="0" applyFont="1" applyBorder="1" applyAlignment="1">
      <alignment horizontal="center" vertical="top"/>
    </xf>
    <xf numFmtId="0" fontId="32" fillId="0" borderId="36" xfId="5" applyFont="1" applyBorder="1" applyAlignment="1" applyProtection="1">
      <alignment horizontal="left" vertical="center" wrapText="1"/>
      <protection locked="0"/>
    </xf>
    <xf numFmtId="0" fontId="32" fillId="0" borderId="37" xfId="5" applyFont="1" applyBorder="1" applyAlignment="1" applyProtection="1">
      <alignment horizontal="left" vertical="center" wrapText="1"/>
      <protection locked="0"/>
    </xf>
    <xf numFmtId="0" fontId="32" fillId="0" borderId="38" xfId="5" applyFont="1" applyBorder="1" applyAlignment="1" applyProtection="1">
      <alignment horizontal="left" vertical="center" wrapText="1"/>
      <protection locked="0"/>
    </xf>
    <xf numFmtId="0" fontId="15" fillId="2" borderId="39" xfId="5" applyFont="1" applyFill="1" applyBorder="1" applyAlignment="1" applyProtection="1">
      <alignment horizontal="left" vertical="center" wrapText="1"/>
      <protection locked="0"/>
    </xf>
    <xf numFmtId="0" fontId="15" fillId="2" borderId="40" xfId="5" applyFont="1" applyFill="1" applyBorder="1" applyAlignment="1" applyProtection="1">
      <alignment horizontal="left" vertical="center" wrapText="1"/>
      <protection locked="0"/>
    </xf>
    <xf numFmtId="0" fontId="15" fillId="2" borderId="41" xfId="5" applyFont="1" applyFill="1" applyBorder="1" applyAlignment="1" applyProtection="1">
      <alignment horizontal="left" vertical="center" wrapText="1"/>
      <protection locked="0"/>
    </xf>
    <xf numFmtId="0" fontId="15" fillId="2" borderId="14" xfId="5" applyFont="1" applyFill="1" applyBorder="1" applyAlignment="1" applyProtection="1">
      <alignment horizontal="left" vertical="center" wrapText="1"/>
      <protection locked="0"/>
    </xf>
    <xf numFmtId="0" fontId="15" fillId="2" borderId="0" xfId="5" applyFont="1" applyFill="1" applyBorder="1" applyAlignment="1" applyProtection="1">
      <alignment horizontal="left" vertical="center" wrapText="1"/>
      <protection locked="0"/>
    </xf>
    <xf numFmtId="0" fontId="15" fillId="2" borderId="15" xfId="5" applyFont="1" applyFill="1" applyBorder="1" applyAlignment="1" applyProtection="1">
      <alignment horizontal="left" vertical="center" wrapText="1"/>
      <protection locked="0"/>
    </xf>
    <xf numFmtId="0" fontId="15" fillId="2" borderId="42" xfId="5" applyFont="1" applyFill="1" applyBorder="1" applyAlignment="1" applyProtection="1">
      <alignment horizontal="left" vertical="center" wrapText="1"/>
      <protection locked="0"/>
    </xf>
    <xf numFmtId="0" fontId="15" fillId="2" borderId="43" xfId="5" applyFont="1" applyFill="1" applyBorder="1" applyAlignment="1" applyProtection="1">
      <alignment horizontal="left" vertical="center" wrapText="1"/>
      <protection locked="0"/>
    </xf>
    <xf numFmtId="0" fontId="15" fillId="2" borderId="44" xfId="5" applyFont="1" applyFill="1" applyBorder="1" applyAlignment="1" applyProtection="1">
      <alignment horizontal="left" vertical="center" wrapText="1"/>
      <protection locked="0"/>
    </xf>
    <xf numFmtId="0" fontId="34" fillId="5" borderId="18" xfId="3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top"/>
    </xf>
    <xf numFmtId="0" fontId="35" fillId="9" borderId="29" xfId="2" applyFont="1" applyFill="1" applyBorder="1" applyAlignment="1">
      <alignment horizontal="center" vertical="center" textRotation="90"/>
    </xf>
    <xf numFmtId="0" fontId="35" fillId="9" borderId="30" xfId="2" applyFont="1" applyFill="1" applyBorder="1" applyAlignment="1">
      <alignment horizontal="center" vertical="center" textRotation="90"/>
    </xf>
    <xf numFmtId="0" fontId="35" fillId="9" borderId="31" xfId="2" applyFont="1" applyFill="1" applyBorder="1" applyAlignment="1">
      <alignment horizontal="center" vertical="center" textRotation="90"/>
    </xf>
    <xf numFmtId="0" fontId="35" fillId="10" borderId="29" xfId="2" applyFont="1" applyFill="1" applyBorder="1" applyAlignment="1">
      <alignment horizontal="center" vertical="center" textRotation="90"/>
    </xf>
    <xf numFmtId="0" fontId="35" fillId="10" borderId="30" xfId="2" applyFont="1" applyFill="1" applyBorder="1" applyAlignment="1">
      <alignment horizontal="center" vertical="center" textRotation="90"/>
    </xf>
    <xf numFmtId="0" fontId="35" fillId="10" borderId="31" xfId="2" applyFont="1" applyFill="1" applyBorder="1" applyAlignment="1">
      <alignment horizontal="center" vertical="center" textRotation="90"/>
    </xf>
    <xf numFmtId="0" fontId="8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1" xfId="0" applyFont="1" applyBorder="1" applyAlignment="1">
      <alignment horizontal="center" vertical="top"/>
    </xf>
  </cellXfs>
  <cellStyles count="9">
    <cellStyle name="Estilo 1" xfId="6" xr:uid="{F967FA9E-B08E-4CF8-BC68-22F717F6B3BF}"/>
    <cellStyle name="Hiperlink" xfId="7" builtinId="8"/>
    <cellStyle name="Hyperlink" xfId="8" xr:uid="{00000000-000B-0000-0000-000008000000}"/>
    <cellStyle name="Normal" xfId="0" builtinId="0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</cellStyles>
  <dxfs count="56">
    <dxf>
      <fill>
        <patternFill>
          <bgColor rgb="FFE1FFF9"/>
        </patternFill>
      </fill>
    </dxf>
    <dxf>
      <fill>
        <patternFill>
          <bgColor rgb="FFAEF0EA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24994659260841701"/>
      </font>
    </dxf>
    <dxf>
      <font>
        <b/>
        <i val="0"/>
        <color theme="0"/>
      </font>
      <fill>
        <patternFill>
          <bgColor rgb="FF105C91"/>
        </patternFill>
      </fill>
    </dxf>
    <dxf>
      <font>
        <color theme="0" tint="-0.24994659260841701"/>
      </font>
    </dxf>
    <dxf>
      <font>
        <strike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>
          <bgColor rgb="FFE1FFF9"/>
        </patternFill>
      </fill>
    </dxf>
    <dxf>
      <fill>
        <patternFill>
          <bgColor rgb="FFAEF0EA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AEF0EA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E1FFF9"/>
        </patternFill>
      </fill>
    </dxf>
    <dxf>
      <font>
        <color theme="0" tint="-0.24994659260841701"/>
      </font>
    </dxf>
    <dxf>
      <font>
        <b/>
        <i val="0"/>
        <color theme="0"/>
      </font>
      <fill>
        <patternFill>
          <bgColor rgb="FF105C91"/>
        </patternFill>
      </fill>
    </dxf>
    <dxf>
      <font>
        <color theme="0" tint="-0.24994659260841701"/>
      </font>
    </dxf>
    <dxf>
      <font>
        <strike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>
          <bgColor rgb="FFE1FFF9"/>
        </patternFill>
      </fill>
    </dxf>
    <dxf>
      <fill>
        <patternFill>
          <bgColor rgb="FFAEF0EA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/>
      </font>
      <fill>
        <patternFill>
          <bgColor rgb="FF105C91"/>
        </patternFill>
      </fill>
    </dxf>
    <dxf>
      <font>
        <color theme="0" tint="-0.24994659260841701"/>
      </font>
    </dxf>
    <dxf>
      <font>
        <strike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>
          <bgColor rgb="FFE1FFF9"/>
        </patternFill>
      </fill>
    </dxf>
    <dxf>
      <fill>
        <patternFill>
          <bgColor rgb="FFAEF0EA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24994659260841701"/>
      </font>
    </dxf>
    <dxf>
      <font>
        <color theme="0" tint="-0.24994659260841701"/>
      </font>
    </dxf>
    <dxf>
      <font>
        <strike val="0"/>
      </font>
      <fill>
        <patternFill>
          <bgColor theme="0"/>
        </patternFill>
      </fill>
    </dxf>
    <dxf>
      <fill>
        <patternFill>
          <bgColor rgb="FFAEF0EA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E1FFF9"/>
        </patternFill>
      </fill>
    </dxf>
    <dxf>
      <font>
        <color theme="0" tint="-0.24994659260841701"/>
      </font>
    </dxf>
    <dxf>
      <font>
        <b/>
        <i val="0"/>
        <color theme="0"/>
      </font>
      <fill>
        <patternFill>
          <bgColor rgb="FF105C91"/>
        </patternFill>
      </fill>
    </dxf>
    <dxf>
      <font>
        <color theme="0" tint="-0.24994659260841701"/>
      </font>
    </dxf>
    <dxf>
      <fill>
        <patternFill>
          <bgColor rgb="FFAEF0EA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E1FFF9"/>
        </patternFill>
      </fill>
    </dxf>
    <dxf>
      <font>
        <strike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>
          <bgColor rgb="FFE1FFF9"/>
        </patternFill>
      </fill>
    </dxf>
    <dxf>
      <fill>
        <patternFill>
          <bgColor rgb="FFAEF0EA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 xr9:uid="{00000000-0011-0000-FFFF-FFFF00000000}">
      <tableStyleElement type="wholeTable" dxfId="55"/>
      <tableStyleElement type="headerRow" dxfId="54"/>
      <tableStyleElement type="totalRow" dxfId="53"/>
      <tableStyleElement type="firstColumn" dxfId="52"/>
      <tableStyleElement type="lastColumn" dxfId="51"/>
      <tableStyleElement type="firstRowStripe" dxfId="50"/>
      <tableStyleElement type="firstColumnStripe" dxfId="49"/>
    </tableStyle>
    <tableStyle name="TableStyleLight9 2" pivot="0" count="4" xr9:uid="{00000000-0011-0000-FFFF-FFFF01000000}">
      <tableStyleElement type="wholeTable" dxfId="48"/>
      <tableStyleElement type="headerRow" dxfId="47"/>
      <tableStyleElement type="totalRow" dxfId="46"/>
      <tableStyleElement type="firstColumn" dxfId="45"/>
    </tableStyle>
  </tableStyles>
  <colors>
    <mruColors>
      <color rgb="FF007E6C"/>
      <color rgb="FFFFE5E5"/>
      <color rgb="FF00A48E"/>
      <color rgb="FFFFE1E1"/>
      <color rgb="FFFF0000"/>
      <color rgb="FFE1FFF9"/>
      <color rgb="FFE1FFEF"/>
      <color rgb="FFB2F2EF"/>
      <color rgb="FFAEF0EA"/>
      <color rgb="FFB2F0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7566338</xdr:colOff>
      <xdr:row>0</xdr:row>
      <xdr:rowOff>0</xdr:rowOff>
    </xdr:from>
    <xdr:to>
      <xdr:col>2</xdr:col>
      <xdr:colOff>0</xdr:colOff>
      <xdr:row>1</xdr:row>
      <xdr:rowOff>246844</xdr:rowOff>
    </xdr:to>
    <xdr:pic>
      <xdr:nvPicPr>
        <xdr:cNvPr id="2" name="Google Shape;623;p29">
          <a:extLst>
            <a:ext uri="{FF2B5EF4-FFF2-40B4-BE49-F238E27FC236}">
              <a16:creationId xmlns:a16="http://schemas.microsoft.com/office/drawing/2014/main" id="{937F400D-3B89-4D41-F2C0-17B1832A15AE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 t="14017" b="23486"/>
        <a:stretch/>
      </xdr:blipFill>
      <xdr:spPr>
        <a:xfrm>
          <a:off x="7727324" y="0"/>
          <a:ext cx="740535" cy="3219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7759521</xdr:colOff>
      <xdr:row>2</xdr:row>
      <xdr:rowOff>26831</xdr:rowOff>
    </xdr:from>
    <xdr:to>
      <xdr:col>2</xdr:col>
      <xdr:colOff>3891</xdr:colOff>
      <xdr:row>3</xdr:row>
      <xdr:rowOff>69760</xdr:rowOff>
    </xdr:to>
    <xdr:pic>
      <xdr:nvPicPr>
        <xdr:cNvPr id="4" name="Google Shape;669;p29">
          <a:extLst>
            <a:ext uri="{FF2B5EF4-FFF2-40B4-BE49-F238E27FC236}">
              <a16:creationId xmlns:a16="http://schemas.microsoft.com/office/drawing/2014/main" id="{EBC3D34C-772A-9190-AB4C-5FEC2AE740A9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 r="58114"/>
        <a:stretch/>
      </xdr:blipFill>
      <xdr:spPr>
        <a:xfrm>
          <a:off x="7920507" y="370268"/>
          <a:ext cx="445395" cy="2092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2919</xdr:colOff>
      <xdr:row>0</xdr:row>
      <xdr:rowOff>1719</xdr:rowOff>
    </xdr:from>
    <xdr:to>
      <xdr:col>18</xdr:col>
      <xdr:colOff>155628</xdr:colOff>
      <xdr:row>1</xdr:row>
      <xdr:rowOff>110053</xdr:rowOff>
    </xdr:to>
    <xdr:pic>
      <xdr:nvPicPr>
        <xdr:cNvPr id="2" name="Google Shape;623;p29">
          <a:extLst>
            <a:ext uri="{FF2B5EF4-FFF2-40B4-BE49-F238E27FC236}">
              <a16:creationId xmlns:a16="http://schemas.microsoft.com/office/drawing/2014/main" id="{1817EF71-F95F-4638-9C3D-FA9A7809F17A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 t="14017" b="23486"/>
        <a:stretch/>
      </xdr:blipFill>
      <xdr:spPr>
        <a:xfrm>
          <a:off x="16877208" y="1719"/>
          <a:ext cx="744262" cy="3188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129002</xdr:colOff>
      <xdr:row>1</xdr:row>
      <xdr:rowOff>109666</xdr:rowOff>
    </xdr:from>
    <xdr:to>
      <xdr:col>17</xdr:col>
      <xdr:colOff>567524</xdr:colOff>
      <xdr:row>2</xdr:row>
      <xdr:rowOff>185147</xdr:rowOff>
    </xdr:to>
    <xdr:pic>
      <xdr:nvPicPr>
        <xdr:cNvPr id="3" name="Google Shape;669;p29">
          <a:extLst>
            <a:ext uri="{FF2B5EF4-FFF2-40B4-BE49-F238E27FC236}">
              <a16:creationId xmlns:a16="http://schemas.microsoft.com/office/drawing/2014/main" id="{1E3CCAE4-64D0-4F67-B031-48D0479DEDB2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 r="58114"/>
        <a:stretch/>
      </xdr:blipFill>
      <xdr:spPr>
        <a:xfrm>
          <a:off x="17003291" y="320219"/>
          <a:ext cx="438522" cy="2158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104774</xdr:rowOff>
    </xdr:from>
    <xdr:to>
      <xdr:col>3</xdr:col>
      <xdr:colOff>78650</xdr:colOff>
      <xdr:row>3</xdr:row>
      <xdr:rowOff>224518</xdr:rowOff>
    </xdr:to>
    <xdr:pic>
      <xdr:nvPicPr>
        <xdr:cNvPr id="5" name="Gráfico 4" descr="Calendário diário com preenchimento sólido">
          <a:extLst>
            <a:ext uri="{FF2B5EF4-FFF2-40B4-BE49-F238E27FC236}">
              <a16:creationId xmlns:a16="http://schemas.microsoft.com/office/drawing/2014/main" id="{7DF8221B-6FC1-8BAD-FADB-8FDD98A86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597354" y="314324"/>
          <a:ext cx="483055" cy="4816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52191</xdr:colOff>
      <xdr:row>0</xdr:row>
      <xdr:rowOff>0</xdr:rowOff>
    </xdr:from>
    <xdr:to>
      <xdr:col>19</xdr:col>
      <xdr:colOff>197739</xdr:colOff>
      <xdr:row>1</xdr:row>
      <xdr:rowOff>113204</xdr:rowOff>
    </xdr:to>
    <xdr:pic>
      <xdr:nvPicPr>
        <xdr:cNvPr id="2" name="Google Shape;623;p29">
          <a:extLst>
            <a:ext uri="{FF2B5EF4-FFF2-40B4-BE49-F238E27FC236}">
              <a16:creationId xmlns:a16="http://schemas.microsoft.com/office/drawing/2014/main" id="{0B18348A-6B73-4570-A72F-810D7B8180AC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 t="14017" b="23486"/>
        <a:stretch/>
      </xdr:blipFill>
      <xdr:spPr>
        <a:xfrm>
          <a:off x="16930491" y="0"/>
          <a:ext cx="739908" cy="3189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198328</xdr:colOff>
      <xdr:row>1</xdr:row>
      <xdr:rowOff>114823</xdr:rowOff>
    </xdr:from>
    <xdr:to>
      <xdr:col>19</xdr:col>
      <xdr:colOff>48736</xdr:colOff>
      <xdr:row>2</xdr:row>
      <xdr:rowOff>187153</xdr:rowOff>
    </xdr:to>
    <xdr:pic>
      <xdr:nvPicPr>
        <xdr:cNvPr id="3" name="Google Shape;669;p29">
          <a:extLst>
            <a:ext uri="{FF2B5EF4-FFF2-40B4-BE49-F238E27FC236}">
              <a16:creationId xmlns:a16="http://schemas.microsoft.com/office/drawing/2014/main" id="{222D2A57-41F6-4C49-BD02-696B02D7B3E3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 r="58114"/>
        <a:stretch/>
      </xdr:blipFill>
      <xdr:spPr>
        <a:xfrm>
          <a:off x="17076628" y="320563"/>
          <a:ext cx="444768" cy="2094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66129</xdr:rowOff>
    </xdr:from>
    <xdr:to>
      <xdr:col>3</xdr:col>
      <xdr:colOff>124643</xdr:colOff>
      <xdr:row>3</xdr:row>
      <xdr:rowOff>185873</xdr:rowOff>
    </xdr:to>
    <xdr:pic>
      <xdr:nvPicPr>
        <xdr:cNvPr id="4" name="Gráfico 3" descr="Calendário diário com preenchimento sólido">
          <a:extLst>
            <a:ext uri="{FF2B5EF4-FFF2-40B4-BE49-F238E27FC236}">
              <a16:creationId xmlns:a16="http://schemas.microsoft.com/office/drawing/2014/main" id="{6CA6B477-C79B-44AF-B894-C50037185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43890" y="272958"/>
          <a:ext cx="494757" cy="4898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30419</xdr:colOff>
      <xdr:row>0</xdr:row>
      <xdr:rowOff>0</xdr:rowOff>
    </xdr:from>
    <xdr:to>
      <xdr:col>19</xdr:col>
      <xdr:colOff>160727</xdr:colOff>
      <xdr:row>1</xdr:row>
      <xdr:rowOff>112115</xdr:rowOff>
    </xdr:to>
    <xdr:pic>
      <xdr:nvPicPr>
        <xdr:cNvPr id="2" name="Google Shape;623;p29">
          <a:extLst>
            <a:ext uri="{FF2B5EF4-FFF2-40B4-BE49-F238E27FC236}">
              <a16:creationId xmlns:a16="http://schemas.microsoft.com/office/drawing/2014/main" id="{CFE1A39A-6AF2-436B-AD8D-8FDE9C1394A3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 t="14017" b="23486"/>
        <a:stretch/>
      </xdr:blipFill>
      <xdr:spPr>
        <a:xfrm>
          <a:off x="16859733" y="0"/>
          <a:ext cx="739908" cy="3189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165670</xdr:colOff>
      <xdr:row>1</xdr:row>
      <xdr:rowOff>136593</xdr:rowOff>
    </xdr:from>
    <xdr:to>
      <xdr:col>19</xdr:col>
      <xdr:colOff>838</xdr:colOff>
      <xdr:row>2</xdr:row>
      <xdr:rowOff>208924</xdr:rowOff>
    </xdr:to>
    <xdr:pic>
      <xdr:nvPicPr>
        <xdr:cNvPr id="3" name="Google Shape;669;p29">
          <a:extLst>
            <a:ext uri="{FF2B5EF4-FFF2-40B4-BE49-F238E27FC236}">
              <a16:creationId xmlns:a16="http://schemas.microsoft.com/office/drawing/2014/main" id="{FB3BE63F-F5F6-4460-B672-C299816FE86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 r="58114"/>
        <a:stretch/>
      </xdr:blipFill>
      <xdr:spPr>
        <a:xfrm>
          <a:off x="16994984" y="343422"/>
          <a:ext cx="444768" cy="2138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47625</xdr:rowOff>
    </xdr:from>
    <xdr:to>
      <xdr:col>3</xdr:col>
      <xdr:colOff>124643</xdr:colOff>
      <xdr:row>3</xdr:row>
      <xdr:rowOff>167369</xdr:rowOff>
    </xdr:to>
    <xdr:pic>
      <xdr:nvPicPr>
        <xdr:cNvPr id="6" name="Gráfico 5" descr="Calendário diário com preenchimento sólido">
          <a:extLst>
            <a:ext uri="{FF2B5EF4-FFF2-40B4-BE49-F238E27FC236}">
              <a16:creationId xmlns:a16="http://schemas.microsoft.com/office/drawing/2014/main" id="{6F6C9AC4-50AC-4D84-A8EC-4A86CC504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423183" y="257175"/>
          <a:ext cx="481150" cy="4816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53340</xdr:rowOff>
    </xdr:from>
    <xdr:to>
      <xdr:col>3</xdr:col>
      <xdr:colOff>120833</xdr:colOff>
      <xdr:row>3</xdr:row>
      <xdr:rowOff>169274</xdr:rowOff>
    </xdr:to>
    <xdr:pic>
      <xdr:nvPicPr>
        <xdr:cNvPr id="2" name="Gráfico 1" descr="Calendário diário com preenchimento sólido">
          <a:extLst>
            <a:ext uri="{FF2B5EF4-FFF2-40B4-BE49-F238E27FC236}">
              <a16:creationId xmlns:a16="http://schemas.microsoft.com/office/drawing/2014/main" id="{4117E387-86BD-4BB4-8A36-9C8A3CF73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10689" y="53340"/>
          <a:ext cx="490947" cy="486048"/>
        </a:xfrm>
        <a:prstGeom prst="rect">
          <a:avLst/>
        </a:prstGeom>
      </xdr:spPr>
    </xdr:pic>
    <xdr:clientData/>
  </xdr:twoCellAnchor>
  <xdr:twoCellAnchor editAs="oneCell">
    <xdr:from>
      <xdr:col>18</xdr:col>
      <xdr:colOff>30419</xdr:colOff>
      <xdr:row>0</xdr:row>
      <xdr:rowOff>32656</xdr:rowOff>
    </xdr:from>
    <xdr:to>
      <xdr:col>19</xdr:col>
      <xdr:colOff>175967</xdr:colOff>
      <xdr:row>2</xdr:row>
      <xdr:rowOff>2168</xdr:rowOff>
    </xdr:to>
    <xdr:pic>
      <xdr:nvPicPr>
        <xdr:cNvPr id="3" name="Google Shape;623;p29">
          <a:extLst>
            <a:ext uri="{FF2B5EF4-FFF2-40B4-BE49-F238E27FC236}">
              <a16:creationId xmlns:a16="http://schemas.microsoft.com/office/drawing/2014/main" id="{29F51566-E4B2-40DD-84BA-96A2643A0E1C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>
          <a:alphaModFix/>
        </a:blip>
        <a:srcRect t="14017" b="23486"/>
        <a:stretch/>
      </xdr:blipFill>
      <xdr:spPr>
        <a:xfrm>
          <a:off x="16925048" y="32656"/>
          <a:ext cx="744262" cy="3178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143899</xdr:colOff>
      <xdr:row>2</xdr:row>
      <xdr:rowOff>16849</xdr:rowOff>
    </xdr:from>
    <xdr:to>
      <xdr:col>19</xdr:col>
      <xdr:colOff>2471</xdr:colOff>
      <xdr:row>3</xdr:row>
      <xdr:rowOff>3183</xdr:rowOff>
    </xdr:to>
    <xdr:pic>
      <xdr:nvPicPr>
        <xdr:cNvPr id="4" name="Google Shape;669;p29">
          <a:extLst>
            <a:ext uri="{FF2B5EF4-FFF2-40B4-BE49-F238E27FC236}">
              <a16:creationId xmlns:a16="http://schemas.microsoft.com/office/drawing/2014/main" id="{60A961A8-262B-4F16-AAC3-4AC590454EB8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4">
          <a:alphaModFix/>
        </a:blip>
        <a:srcRect r="58114"/>
        <a:stretch/>
      </xdr:blipFill>
      <xdr:spPr>
        <a:xfrm>
          <a:off x="17038528" y="365192"/>
          <a:ext cx="449122" cy="2149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esp-my.sharepoint.com/:f:/g/personal/coped_decegep_educacao_sp_gov_br/EhSXKUsxEH5AqRE27KdwDtIBeOGWO2PLohECLcrbJPS6hQ?e=xHQEC9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A48E"/>
  </sheetPr>
  <dimension ref="A1:O50"/>
  <sheetViews>
    <sheetView showGridLines="0" topLeftCell="A28" zoomScale="80" zoomScaleNormal="80" workbookViewId="0">
      <selection activeCell="B50" sqref="B50"/>
    </sheetView>
  </sheetViews>
  <sheetFormatPr defaultColWidth="10.85546875" defaultRowHeight="15.75" x14ac:dyDescent="0.25"/>
  <cols>
    <col min="1" max="1" width="2.28515625" style="1" customWidth="1"/>
    <col min="2" max="2" width="121.140625" style="7" customWidth="1"/>
    <col min="3" max="16384" width="10.85546875" style="1"/>
  </cols>
  <sheetData>
    <row r="1" spans="1:15" ht="6" customHeight="1" x14ac:dyDescent="0.25">
      <c r="A1" s="9"/>
      <c r="B1" s="11"/>
    </row>
    <row r="2" spans="1:15" ht="21" x14ac:dyDescent="0.35">
      <c r="A2" s="9"/>
      <c r="B2" s="10" t="s">
        <v>0</v>
      </c>
    </row>
    <row r="3" spans="1:15" ht="13.15" customHeight="1" x14ac:dyDescent="0.95">
      <c r="A3" s="9"/>
      <c r="B3" s="12"/>
    </row>
    <row r="4" spans="1:15" ht="18.75" x14ac:dyDescent="0.3">
      <c r="A4" s="9"/>
      <c r="B4" s="13" t="s">
        <v>1</v>
      </c>
    </row>
    <row r="5" spans="1:15" ht="15.6" customHeight="1" x14ac:dyDescent="0.25">
      <c r="A5" s="9"/>
      <c r="B5" s="19" t="s">
        <v>2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</row>
    <row r="6" spans="1:15" x14ac:dyDescent="0.25">
      <c r="A6" s="9"/>
      <c r="B6" s="15" t="s">
        <v>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5" x14ac:dyDescent="0.25">
      <c r="A7" s="9"/>
      <c r="B7" s="15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5" ht="18.75" x14ac:dyDescent="0.25">
      <c r="A8" s="9"/>
      <c r="B8" s="16" t="s">
        <v>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5" x14ac:dyDescent="0.25">
      <c r="A9" s="9"/>
      <c r="B9" s="34" t="s">
        <v>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9"/>
      <c r="B10" s="15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5" x14ac:dyDescent="0.25">
      <c r="A11" s="9"/>
      <c r="B11" s="15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5" x14ac:dyDescent="0.25">
      <c r="A12" s="9"/>
      <c r="B12" s="17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5" x14ac:dyDescent="0.25">
      <c r="A13" s="9"/>
      <c r="B13" s="3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5" x14ac:dyDescent="0.25">
      <c r="A14" s="9"/>
      <c r="B14" s="17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5" x14ac:dyDescent="0.25">
      <c r="A15" s="9"/>
      <c r="B15" s="15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5" x14ac:dyDescent="0.25">
      <c r="A16" s="9"/>
      <c r="B16" s="15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9"/>
      <c r="B17" s="17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9"/>
      <c r="B18" s="15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9"/>
      <c r="B19" s="15" t="s">
        <v>15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9"/>
      <c r="B20" s="15" t="s">
        <v>16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9"/>
      <c r="B21" s="15" t="s">
        <v>17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9"/>
      <c r="B22" s="15" t="s">
        <v>18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9"/>
      <c r="B23" s="15" t="s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9"/>
      <c r="B24" s="15" t="s">
        <v>20</v>
      </c>
    </row>
    <row r="25" spans="1:14" x14ac:dyDescent="0.25">
      <c r="A25" s="9"/>
      <c r="B25" s="15" t="s">
        <v>21</v>
      </c>
    </row>
    <row r="26" spans="1:14" x14ac:dyDescent="0.25">
      <c r="A26" s="9"/>
      <c r="B26" s="15"/>
    </row>
    <row r="27" spans="1:14" ht="18.75" x14ac:dyDescent="0.3">
      <c r="A27" s="9"/>
      <c r="B27" s="13" t="s">
        <v>22</v>
      </c>
    </row>
    <row r="28" spans="1:14" ht="18" x14ac:dyDescent="0.25">
      <c r="A28" s="9"/>
      <c r="B28" s="20" t="s">
        <v>23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 ht="33.75" x14ac:dyDescent="0.25">
      <c r="A29" s="9"/>
      <c r="B29" s="15" t="s">
        <v>24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x14ac:dyDescent="0.25">
      <c r="A30" s="9"/>
      <c r="B30" s="14"/>
    </row>
    <row r="31" spans="1:14" ht="18.75" x14ac:dyDescent="0.3">
      <c r="A31" s="9"/>
      <c r="B31" s="13" t="s">
        <v>25</v>
      </c>
    </row>
    <row r="32" spans="1:14" ht="15.6" customHeight="1" x14ac:dyDescent="0.25">
      <c r="A32" s="9"/>
      <c r="B32" s="77" t="s">
        <v>26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x14ac:dyDescent="0.25">
      <c r="A33" s="9"/>
      <c r="B33" s="77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5">
      <c r="A34" s="9"/>
      <c r="B34" s="77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x14ac:dyDescent="0.25">
      <c r="A35" s="9"/>
      <c r="B35" s="15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ht="18.75" x14ac:dyDescent="0.3">
      <c r="A36" s="9"/>
      <c r="B36" s="13" t="s">
        <v>27</v>
      </c>
    </row>
    <row r="37" spans="1:14" ht="15.6" customHeight="1" x14ac:dyDescent="0.25">
      <c r="A37" s="9"/>
      <c r="B37" s="77" t="s">
        <v>28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ht="15.6" customHeight="1" x14ac:dyDescent="0.25">
      <c r="A38" s="9"/>
      <c r="B38" s="77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x14ac:dyDescent="0.25">
      <c r="A39" s="9"/>
      <c r="B39" s="19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 ht="18.75" x14ac:dyDescent="0.3">
      <c r="A40" s="9"/>
      <c r="B40" s="32" t="s">
        <v>29</v>
      </c>
    </row>
    <row r="41" spans="1:14" x14ac:dyDescent="0.25">
      <c r="A41" s="9"/>
      <c r="B41" s="33" t="s">
        <v>30</v>
      </c>
    </row>
    <row r="42" spans="1:14" x14ac:dyDescent="0.25">
      <c r="A42" s="9"/>
      <c r="B42" s="18" t="s">
        <v>31</v>
      </c>
    </row>
    <row r="43" spans="1:14" x14ac:dyDescent="0.25">
      <c r="A43" s="9"/>
      <c r="B43" s="18" t="s">
        <v>32</v>
      </c>
    </row>
    <row r="44" spans="1:14" x14ac:dyDescent="0.25">
      <c r="A44" s="9"/>
      <c r="B44" s="18" t="s">
        <v>33</v>
      </c>
    </row>
    <row r="45" spans="1:14" x14ac:dyDescent="0.25">
      <c r="A45" s="9"/>
      <c r="B45" s="18"/>
    </row>
    <row r="46" spans="1:14" x14ac:dyDescent="0.25">
      <c r="A46" s="9"/>
      <c r="B46" s="33" t="s">
        <v>34</v>
      </c>
    </row>
    <row r="47" spans="1:14" x14ac:dyDescent="0.25">
      <c r="A47" s="9"/>
      <c r="B47" s="14" t="s">
        <v>35</v>
      </c>
    </row>
    <row r="48" spans="1:14" x14ac:dyDescent="0.25">
      <c r="A48" s="9"/>
      <c r="B48" s="14" t="s">
        <v>36</v>
      </c>
    </row>
    <row r="49" spans="1:2" x14ac:dyDescent="0.25">
      <c r="A49" s="9"/>
      <c r="B49" s="14" t="s">
        <v>37</v>
      </c>
    </row>
    <row r="50" spans="1:2" x14ac:dyDescent="0.25">
      <c r="A50" s="9"/>
      <c r="B50" s="14" t="s">
        <v>38</v>
      </c>
    </row>
  </sheetData>
  <sortState xmlns:xlrd2="http://schemas.microsoft.com/office/spreadsheetml/2017/richdata2" ref="B15:B24">
    <sortCondition ref="B14:B24"/>
  </sortState>
  <mergeCells count="2">
    <mergeCell ref="B37:B38"/>
    <mergeCell ref="B32:B34"/>
  </mergeCells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A48E"/>
    <pageSetUpPr fitToPage="1"/>
  </sheetPr>
  <dimension ref="A1:S54"/>
  <sheetViews>
    <sheetView showGridLines="0" zoomScale="70" zoomScaleNormal="70" zoomScalePageLayoutView="84" workbookViewId="0">
      <pane xSplit="5" ySplit="13" topLeftCell="F14" activePane="bottomRight" state="frozen"/>
      <selection pane="topRight" activeCell="D1" sqref="D1"/>
      <selection pane="bottomLeft" activeCell="A13" sqref="A13"/>
      <selection pane="bottomRight" activeCell="M43" sqref="M43:Q44"/>
    </sheetView>
  </sheetViews>
  <sheetFormatPr defaultColWidth="8.7109375" defaultRowHeight="16.5" customHeight="1" x14ac:dyDescent="0.2"/>
  <cols>
    <col min="1" max="1" width="2.7109375" style="37" customWidth="1"/>
    <col min="2" max="2" width="3.42578125" style="37" customWidth="1"/>
    <col min="3" max="3" width="6" style="3" customWidth="1"/>
    <col min="4" max="4" width="6.5703125" style="3" customWidth="1"/>
    <col min="5" max="10" width="17.7109375" style="3" customWidth="1"/>
    <col min="11" max="11" width="33.7109375" style="3" customWidth="1"/>
    <col min="12" max="12" width="3.42578125" style="3" customWidth="1"/>
    <col min="13" max="14" width="15.28515625" style="3" customWidth="1"/>
    <col min="15" max="15" width="14.7109375" style="3" customWidth="1"/>
    <col min="16" max="16" width="19.28515625" style="3" customWidth="1"/>
    <col min="17" max="17" width="30.140625" style="3" customWidth="1"/>
    <col min="18" max="16384" width="8.7109375" style="3"/>
  </cols>
  <sheetData>
    <row r="1" spans="1:17" ht="16.5" customHeight="1" x14ac:dyDescent="0.2">
      <c r="A1" s="39"/>
      <c r="B1" s="50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11.25" customHeight="1" x14ac:dyDescent="0.2">
      <c r="A2" s="155" t="s">
        <v>39</v>
      </c>
      <c r="B2" s="156"/>
      <c r="D2" s="46">
        <f ca="1">TODAY()</f>
        <v>45751</v>
      </c>
      <c r="E2" s="4"/>
      <c r="F2" s="5"/>
      <c r="G2" s="4"/>
      <c r="H2" s="4"/>
      <c r="K2" s="167">
        <v>2025</v>
      </c>
    </row>
    <row r="3" spans="1:17" ht="18" customHeight="1" x14ac:dyDescent="0.2">
      <c r="A3" s="156"/>
      <c r="B3" s="156"/>
      <c r="D3" s="165" t="s">
        <v>40</v>
      </c>
      <c r="E3" s="25" t="s">
        <v>41</v>
      </c>
      <c r="F3" s="26">
        <v>45658</v>
      </c>
      <c r="G3" s="57" t="s">
        <v>42</v>
      </c>
      <c r="J3" s="56" t="s">
        <v>43</v>
      </c>
      <c r="K3" s="168"/>
      <c r="M3" s="141" t="s">
        <v>44</v>
      </c>
      <c r="N3" s="142"/>
      <c r="O3" s="142"/>
      <c r="P3" s="142"/>
      <c r="Q3" s="143"/>
    </row>
    <row r="4" spans="1:17" ht="21" customHeight="1" x14ac:dyDescent="0.2">
      <c r="A4" s="156"/>
      <c r="B4" s="156"/>
      <c r="D4" s="165"/>
      <c r="E4" s="40" t="s">
        <v>45</v>
      </c>
      <c r="F4" s="40" t="s">
        <v>46</v>
      </c>
      <c r="G4" s="40" t="s">
        <v>47</v>
      </c>
      <c r="H4" s="40" t="s">
        <v>48</v>
      </c>
      <c r="I4" s="40" t="s">
        <v>49</v>
      </c>
      <c r="J4" s="40" t="s">
        <v>50</v>
      </c>
      <c r="K4" s="40" t="s">
        <v>51</v>
      </c>
      <c r="M4" s="144" t="s">
        <v>52</v>
      </c>
      <c r="N4" s="145"/>
      <c r="O4" s="145"/>
      <c r="P4" s="145"/>
      <c r="Q4" s="146"/>
    </row>
    <row r="5" spans="1:17" ht="18" customHeight="1" x14ac:dyDescent="0.2">
      <c r="A5" s="156"/>
      <c r="B5" s="156"/>
      <c r="D5" s="165"/>
      <c r="E5" s="41">
        <f>IF(DAY(JanSun1)=1,JanSun1-6,JanSun1+1)</f>
        <v>45656</v>
      </c>
      <c r="F5" s="41">
        <f>IF(DAY(JanSun1)=1,JanSun1-5,JanSun1+2)</f>
        <v>45657</v>
      </c>
      <c r="G5" s="42">
        <f>IF(DAY(JanSun1)=1,JanSun1-4,JanSun1+3)</f>
        <v>45658</v>
      </c>
      <c r="H5" s="66">
        <f>IF(DAY(JanSun1)=1,JanSun1-3,JanSun1+4)</f>
        <v>45659</v>
      </c>
      <c r="I5" s="66">
        <f>IF(DAY(JanSun1)=1,JanSun1-2,JanSun1+5)</f>
        <v>45660</v>
      </c>
      <c r="J5" s="66">
        <f>IF(DAY(JanSun1)=1,JanSun1-1,JanSun1+6)</f>
        <v>45661</v>
      </c>
      <c r="K5" s="43">
        <f>IF(DAY(JanSun1)=1,JanSun1,JanSun1+7)</f>
        <v>45662</v>
      </c>
      <c r="M5" s="144" t="s">
        <v>53</v>
      </c>
      <c r="N5" s="145"/>
      <c r="O5" s="145"/>
      <c r="P5" s="145"/>
      <c r="Q5" s="146"/>
    </row>
    <row r="6" spans="1:17" ht="18" customHeight="1" x14ac:dyDescent="0.2">
      <c r="A6" s="156"/>
      <c r="B6" s="156"/>
      <c r="D6" s="165"/>
      <c r="E6" s="66">
        <f>IF(DAY(JanSun1)=1,JanSun1+1,JanSun1+8)</f>
        <v>45663</v>
      </c>
      <c r="F6" s="66">
        <f>IF(DAY(JanSun1)=1,JanSun1+2,JanSun1+9)</f>
        <v>45664</v>
      </c>
      <c r="G6" s="66">
        <f>IF(DAY(JanSun1)=1,JanSun1+3,JanSun1+10)</f>
        <v>45665</v>
      </c>
      <c r="H6" s="66">
        <f>IF(DAY(JanSun1)=1,JanSun1+4,JanSun1+11)</f>
        <v>45666</v>
      </c>
      <c r="I6" s="66">
        <f>IF(DAY(JanSun1)=1,JanSun1+5,JanSun1+12)</f>
        <v>45667</v>
      </c>
      <c r="J6" s="66">
        <f>IF(DAY(JanSun1)=1,JanSun1+6,JanSun1+13)</f>
        <v>45668</v>
      </c>
      <c r="K6" s="43">
        <f>IF(DAY(JanSun1)=1,JanSun1+7,JanSun1+14)</f>
        <v>45669</v>
      </c>
      <c r="M6" s="147" t="s">
        <v>54</v>
      </c>
      <c r="N6" s="148"/>
      <c r="O6" s="148"/>
      <c r="P6" s="148"/>
      <c r="Q6" s="149"/>
    </row>
    <row r="7" spans="1:17" ht="18" customHeight="1" x14ac:dyDescent="0.2">
      <c r="A7" s="156"/>
      <c r="B7" s="156"/>
      <c r="D7" s="165"/>
      <c r="E7" s="72">
        <f>IF(DAY(JanSun1)=1,JanSun1+8,JanSun1+15)</f>
        <v>45670</v>
      </c>
      <c r="F7" s="72">
        <f>IF(DAY(JanSun1)=1,JanSun1+9,JanSun1+16)</f>
        <v>45671</v>
      </c>
      <c r="G7" s="72">
        <f>IF(DAY(JanSun1)=1,JanSun1+10,JanSun1+17)</f>
        <v>45672</v>
      </c>
      <c r="H7" s="72">
        <f>IF(DAY(JanSun1)=1,JanSun1+11,JanSun1+18)</f>
        <v>45673</v>
      </c>
      <c r="I7" s="72">
        <f>IF(DAY(JanSun1)=1,JanSun1+12,JanSun1+19)</f>
        <v>45674</v>
      </c>
      <c r="J7" s="44">
        <f>IF(DAY(JanSun1)=1,JanSun1+13,JanSun1+20)</f>
        <v>45675</v>
      </c>
      <c r="K7" s="43">
        <f>IF(DAY(JanSun1)=1,JanSun1+14,JanSun1+21)</f>
        <v>45676</v>
      </c>
      <c r="M7" s="144" t="s">
        <v>55</v>
      </c>
      <c r="N7" s="145"/>
      <c r="O7" s="145"/>
      <c r="P7" s="145"/>
      <c r="Q7" s="146"/>
    </row>
    <row r="8" spans="1:17" ht="18" customHeight="1" x14ac:dyDescent="0.2">
      <c r="A8" s="156"/>
      <c r="B8" s="156"/>
      <c r="D8" s="165"/>
      <c r="E8" s="72">
        <f>IF(DAY(JanSun1)=1,JanSun1+15,JanSun1+22)</f>
        <v>45677</v>
      </c>
      <c r="F8" s="72">
        <f>IF(DAY(JanSun1)=1,JanSun1+16,JanSun1+23)</f>
        <v>45678</v>
      </c>
      <c r="G8" s="72">
        <f>IF(DAY(JanSun1)=1,JanSun1+17,JanSun1+24)</f>
        <v>45679</v>
      </c>
      <c r="H8" s="72">
        <f>IF(DAY(JanSun1)=1,JanSun1+18,JanSun1+25)</f>
        <v>45680</v>
      </c>
      <c r="I8" s="72">
        <f>IF(DAY(JanSun1)=1,JanSun1+19,JanSun1+26)</f>
        <v>45681</v>
      </c>
      <c r="J8" s="44">
        <f>IF(DAY(JanSun1)=1,JanSun1+20,JanSun1+27)</f>
        <v>45682</v>
      </c>
      <c r="K8" s="43">
        <f>IF(DAY(JanSun1)=1,JanSun1+21,JanSun1+28)</f>
        <v>45683</v>
      </c>
      <c r="M8" s="144" t="s">
        <v>56</v>
      </c>
      <c r="N8" s="145"/>
      <c r="O8" s="145"/>
      <c r="P8" s="145"/>
      <c r="Q8" s="146"/>
    </row>
    <row r="9" spans="1:17" ht="18.75" customHeight="1" x14ac:dyDescent="0.2">
      <c r="A9" s="156"/>
      <c r="B9" s="156"/>
      <c r="D9" s="165"/>
      <c r="E9" s="72">
        <f>IF(DAY(JanSun1)=1,JanSun1+22,JanSun1+29)</f>
        <v>45684</v>
      </c>
      <c r="F9" s="72">
        <f>IF(DAY(JanSun1)=1,JanSun1+23,JanSun1+30)</f>
        <v>45685</v>
      </c>
      <c r="G9" s="72">
        <f>IF(DAY(JanSun1)=1,JanSun1+24,JanSun1+31)</f>
        <v>45686</v>
      </c>
      <c r="H9" s="72">
        <f>IF(DAY(JanSun1)=1,JanSun1+25,JanSun1+32)</f>
        <v>45687</v>
      </c>
      <c r="I9" s="72">
        <f>IF(DAY(JanSun1)=1,JanSun1+26,JanSun1+33)</f>
        <v>45688</v>
      </c>
      <c r="J9" s="41">
        <f>IF(DAY(JanSun1)=1,JanSun1+27,JanSun1+34)</f>
        <v>45689</v>
      </c>
      <c r="K9" s="41">
        <f>IF(DAY(JanSun1)=1,JanSun1+28,JanSun1+35)</f>
        <v>45690</v>
      </c>
      <c r="M9" s="144" t="s">
        <v>57</v>
      </c>
      <c r="N9" s="145"/>
      <c r="O9" s="145"/>
      <c r="P9" s="145"/>
      <c r="Q9" s="146"/>
    </row>
    <row r="10" spans="1:17" ht="18" customHeight="1" x14ac:dyDescent="0.2">
      <c r="A10" s="156"/>
      <c r="B10" s="156"/>
      <c r="D10" s="165"/>
      <c r="E10" s="41">
        <f>IF(DAY(JanSun1)=1,JanSun1+29,JanSun1+36)</f>
        <v>45691</v>
      </c>
      <c r="F10" s="41">
        <f>IF(DAY(JanSun1)=1,JanSun1+30,JanSun1+37)</f>
        <v>45692</v>
      </c>
      <c r="G10" s="41">
        <f>IF(DAY(JanSun1)=1,JanSun1+31,JanSun1+38)</f>
        <v>45693</v>
      </c>
      <c r="H10" s="41">
        <f>IF(DAY(JanSun1)=1,JanSun1+32,JanSun1+39)</f>
        <v>45694</v>
      </c>
      <c r="I10" s="41">
        <f>IF(DAY(JanSun1)=1,JanSun1+33,JanSun1+40)</f>
        <v>45695</v>
      </c>
      <c r="J10" s="41">
        <f>IF(DAY(JanSun1)=1,JanSun1+34,JanSun1+41)</f>
        <v>45696</v>
      </c>
      <c r="K10" s="41">
        <f>IF(DAY(JanSun1)=1,JanSun1+35,JanSun1+42)</f>
        <v>45697</v>
      </c>
      <c r="M10" s="144" t="s">
        <v>58</v>
      </c>
      <c r="N10" s="145"/>
      <c r="O10" s="145"/>
      <c r="P10" s="145"/>
      <c r="Q10" s="146"/>
    </row>
    <row r="11" spans="1:17" ht="18" customHeight="1" x14ac:dyDescent="0.2">
      <c r="A11" s="156"/>
      <c r="B11" s="156"/>
      <c r="D11" s="166"/>
      <c r="E11" s="35"/>
      <c r="F11" s="164"/>
      <c r="G11" s="164"/>
      <c r="H11" s="164"/>
      <c r="I11" s="164"/>
      <c r="J11" s="164"/>
      <c r="K11" s="35"/>
    </row>
    <row r="12" spans="1:17" ht="18" customHeight="1" x14ac:dyDescent="0.25">
      <c r="A12" s="156"/>
      <c r="B12" s="156"/>
      <c r="C12" s="160" t="s">
        <v>59</v>
      </c>
      <c r="D12" s="161"/>
      <c r="E12" s="161"/>
      <c r="F12" s="161"/>
      <c r="G12" s="161"/>
      <c r="H12" s="161"/>
      <c r="I12" s="161"/>
      <c r="J12" s="161"/>
      <c r="K12" s="162"/>
      <c r="L12" s="68"/>
      <c r="M12" s="135" t="s">
        <v>60</v>
      </c>
      <c r="N12" s="136"/>
      <c r="O12" s="136"/>
      <c r="P12" s="136"/>
      <c r="Q12" s="137"/>
    </row>
    <row r="13" spans="1:17" ht="18" customHeight="1" thickBot="1" x14ac:dyDescent="0.3">
      <c r="A13" s="156"/>
      <c r="B13" s="156"/>
      <c r="C13" s="55" t="s">
        <v>61</v>
      </c>
      <c r="D13" s="55" t="s">
        <v>62</v>
      </c>
      <c r="E13" s="55" t="s">
        <v>63</v>
      </c>
      <c r="F13" s="163" t="s">
        <v>64</v>
      </c>
      <c r="G13" s="163"/>
      <c r="H13" s="163"/>
      <c r="I13" s="163"/>
      <c r="J13" s="150" t="s">
        <v>65</v>
      </c>
      <c r="K13" s="151"/>
      <c r="L13" s="69"/>
      <c r="M13" s="138"/>
      <c r="N13" s="139"/>
      <c r="O13" s="139"/>
      <c r="P13" s="139"/>
      <c r="Q13" s="140"/>
    </row>
    <row r="14" spans="1:17" ht="18" customHeight="1" x14ac:dyDescent="0.2">
      <c r="A14" s="38"/>
      <c r="B14" s="152" t="s">
        <v>66</v>
      </c>
      <c r="C14" s="30" t="s">
        <v>47</v>
      </c>
      <c r="D14" s="48">
        <v>1</v>
      </c>
      <c r="E14" s="169"/>
      <c r="F14" s="93"/>
      <c r="G14" s="94"/>
      <c r="H14" s="94"/>
      <c r="I14" s="95"/>
      <c r="J14" s="114"/>
      <c r="K14" s="115"/>
      <c r="M14" s="78" t="s">
        <v>67</v>
      </c>
      <c r="N14" s="79"/>
      <c r="O14" s="79"/>
      <c r="P14" s="79"/>
      <c r="Q14" s="80"/>
    </row>
    <row r="15" spans="1:17" ht="18" customHeight="1" x14ac:dyDescent="0.2">
      <c r="A15" s="38"/>
      <c r="B15" s="153"/>
      <c r="C15" s="30" t="s">
        <v>48</v>
      </c>
      <c r="D15" s="30">
        <v>2</v>
      </c>
      <c r="E15" s="170"/>
      <c r="F15" s="96"/>
      <c r="G15" s="97"/>
      <c r="H15" s="97"/>
      <c r="I15" s="98"/>
      <c r="J15" s="116"/>
      <c r="K15" s="117"/>
      <c r="M15" s="81"/>
      <c r="N15" s="82"/>
      <c r="O15" s="82"/>
      <c r="P15" s="82"/>
      <c r="Q15" s="83"/>
    </row>
    <row r="16" spans="1:17" ht="18" customHeight="1" x14ac:dyDescent="0.2">
      <c r="A16" s="38"/>
      <c r="B16" s="153"/>
      <c r="C16" s="30" t="s">
        <v>49</v>
      </c>
      <c r="D16" s="30">
        <v>3</v>
      </c>
      <c r="E16" s="170"/>
      <c r="F16" s="96"/>
      <c r="G16" s="97"/>
      <c r="H16" s="97"/>
      <c r="I16" s="98"/>
      <c r="J16" s="116"/>
      <c r="K16" s="117"/>
      <c r="M16" s="81"/>
      <c r="N16" s="82"/>
      <c r="O16" s="82"/>
      <c r="P16" s="82"/>
      <c r="Q16" s="83"/>
    </row>
    <row r="17" spans="1:17" ht="18" customHeight="1" thickBot="1" x14ac:dyDescent="0.25">
      <c r="A17" s="38"/>
      <c r="B17" s="154"/>
      <c r="C17" s="49" t="s">
        <v>50</v>
      </c>
      <c r="D17" s="49">
        <v>4</v>
      </c>
      <c r="E17" s="171"/>
      <c r="F17" s="99"/>
      <c r="G17" s="100"/>
      <c r="H17" s="100"/>
      <c r="I17" s="101"/>
      <c r="J17" s="118"/>
      <c r="K17" s="119"/>
      <c r="M17" s="81"/>
      <c r="N17" s="82"/>
      <c r="O17" s="82"/>
      <c r="P17" s="82"/>
      <c r="Q17" s="83"/>
    </row>
    <row r="18" spans="1:17" ht="18" customHeight="1" x14ac:dyDescent="0.2">
      <c r="A18" s="38"/>
      <c r="B18" s="157" t="s">
        <v>68</v>
      </c>
      <c r="C18" s="51" t="s">
        <v>51</v>
      </c>
      <c r="D18" s="51">
        <v>5</v>
      </c>
      <c r="E18" s="169"/>
      <c r="F18" s="93"/>
      <c r="G18" s="94"/>
      <c r="H18" s="94"/>
      <c r="I18" s="95"/>
      <c r="J18" s="114"/>
      <c r="K18" s="115"/>
      <c r="M18" s="81"/>
      <c r="N18" s="82"/>
      <c r="O18" s="82"/>
      <c r="P18" s="82"/>
      <c r="Q18" s="83"/>
    </row>
    <row r="19" spans="1:17" ht="18" customHeight="1" x14ac:dyDescent="0.2">
      <c r="A19" s="38"/>
      <c r="B19" s="158"/>
      <c r="C19" s="30" t="s">
        <v>45</v>
      </c>
      <c r="D19" s="30">
        <v>6</v>
      </c>
      <c r="E19" s="170"/>
      <c r="F19" s="96"/>
      <c r="G19" s="97"/>
      <c r="H19" s="97"/>
      <c r="I19" s="98"/>
      <c r="J19" s="116"/>
      <c r="K19" s="117"/>
      <c r="M19" s="81"/>
      <c r="N19" s="82"/>
      <c r="O19" s="82"/>
      <c r="P19" s="82"/>
      <c r="Q19" s="83"/>
    </row>
    <row r="20" spans="1:17" ht="18" customHeight="1" x14ac:dyDescent="0.2">
      <c r="A20" s="38"/>
      <c r="B20" s="158"/>
      <c r="C20" s="30" t="s">
        <v>46</v>
      </c>
      <c r="D20" s="30">
        <v>7</v>
      </c>
      <c r="E20" s="170"/>
      <c r="F20" s="96"/>
      <c r="G20" s="97"/>
      <c r="H20" s="97"/>
      <c r="I20" s="98"/>
      <c r="J20" s="116"/>
      <c r="K20" s="117"/>
      <c r="M20" s="81"/>
      <c r="N20" s="82"/>
      <c r="O20" s="82"/>
      <c r="P20" s="82"/>
      <c r="Q20" s="83"/>
    </row>
    <row r="21" spans="1:17" ht="18" customHeight="1" x14ac:dyDescent="0.2">
      <c r="A21" s="38"/>
      <c r="B21" s="158"/>
      <c r="C21" s="30" t="s">
        <v>47</v>
      </c>
      <c r="D21" s="30">
        <v>8</v>
      </c>
      <c r="E21" s="170"/>
      <c r="F21" s="96"/>
      <c r="G21" s="97"/>
      <c r="H21" s="97"/>
      <c r="I21" s="98"/>
      <c r="J21" s="116"/>
      <c r="K21" s="117"/>
      <c r="M21" s="81"/>
      <c r="N21" s="82"/>
      <c r="O21" s="82"/>
      <c r="P21" s="82"/>
      <c r="Q21" s="83"/>
    </row>
    <row r="22" spans="1:17" ht="18" customHeight="1" x14ac:dyDescent="0.2">
      <c r="A22" s="38"/>
      <c r="B22" s="158"/>
      <c r="C22" s="30" t="s">
        <v>48</v>
      </c>
      <c r="D22" s="30">
        <v>9</v>
      </c>
      <c r="E22" s="170"/>
      <c r="F22" s="96"/>
      <c r="G22" s="97"/>
      <c r="H22" s="97"/>
      <c r="I22" s="98"/>
      <c r="J22" s="116"/>
      <c r="K22" s="117"/>
      <c r="M22" s="81"/>
      <c r="N22" s="82"/>
      <c r="O22" s="82"/>
      <c r="P22" s="82"/>
      <c r="Q22" s="83"/>
    </row>
    <row r="23" spans="1:17" ht="18" customHeight="1" x14ac:dyDescent="0.2">
      <c r="A23" s="38"/>
      <c r="B23" s="158"/>
      <c r="C23" s="30" t="s">
        <v>49</v>
      </c>
      <c r="D23" s="30">
        <v>10</v>
      </c>
      <c r="E23" s="170"/>
      <c r="F23" s="96"/>
      <c r="G23" s="97"/>
      <c r="H23" s="97"/>
      <c r="I23" s="98"/>
      <c r="J23" s="116"/>
      <c r="K23" s="117"/>
      <c r="M23" s="81"/>
      <c r="N23" s="82"/>
      <c r="O23" s="82"/>
      <c r="P23" s="82"/>
      <c r="Q23" s="83"/>
    </row>
    <row r="24" spans="1:17" ht="18" customHeight="1" thickBot="1" x14ac:dyDescent="0.25">
      <c r="A24" s="38"/>
      <c r="B24" s="159"/>
      <c r="C24" s="49" t="s">
        <v>50</v>
      </c>
      <c r="D24" s="49">
        <v>11</v>
      </c>
      <c r="E24" s="171"/>
      <c r="F24" s="99"/>
      <c r="G24" s="100"/>
      <c r="H24" s="100"/>
      <c r="I24" s="101"/>
      <c r="J24" s="118"/>
      <c r="K24" s="119"/>
      <c r="M24" s="81"/>
      <c r="N24" s="82"/>
      <c r="O24" s="82"/>
      <c r="P24" s="82"/>
      <c r="Q24" s="83"/>
    </row>
    <row r="25" spans="1:17" ht="18" customHeight="1" x14ac:dyDescent="0.2">
      <c r="A25" s="38"/>
      <c r="B25" s="152" t="s">
        <v>69</v>
      </c>
      <c r="C25" s="51" t="s">
        <v>51</v>
      </c>
      <c r="D25" s="51">
        <v>12</v>
      </c>
      <c r="E25" s="102" t="s">
        <v>70</v>
      </c>
      <c r="F25" s="105" t="s">
        <v>71</v>
      </c>
      <c r="G25" s="106"/>
      <c r="H25" s="106"/>
      <c r="I25" s="107"/>
      <c r="J25" s="120" t="s">
        <v>72</v>
      </c>
      <c r="K25" s="121"/>
      <c r="M25" s="81"/>
      <c r="N25" s="82"/>
      <c r="O25" s="82"/>
      <c r="P25" s="82"/>
      <c r="Q25" s="83"/>
    </row>
    <row r="26" spans="1:17" ht="18" customHeight="1" x14ac:dyDescent="0.2">
      <c r="A26" s="38"/>
      <c r="B26" s="153"/>
      <c r="C26" s="30" t="s">
        <v>45</v>
      </c>
      <c r="D26" s="30">
        <v>13</v>
      </c>
      <c r="E26" s="103"/>
      <c r="F26" s="108"/>
      <c r="G26" s="109"/>
      <c r="H26" s="109"/>
      <c r="I26" s="110"/>
      <c r="J26" s="122"/>
      <c r="K26" s="123"/>
      <c r="M26" s="81"/>
      <c r="N26" s="82"/>
      <c r="O26" s="82"/>
      <c r="P26" s="82"/>
      <c r="Q26" s="83"/>
    </row>
    <row r="27" spans="1:17" ht="18" customHeight="1" x14ac:dyDescent="0.2">
      <c r="A27" s="38"/>
      <c r="B27" s="153"/>
      <c r="C27" s="30" t="s">
        <v>46</v>
      </c>
      <c r="D27" s="30">
        <v>14</v>
      </c>
      <c r="E27" s="103"/>
      <c r="F27" s="108"/>
      <c r="G27" s="109"/>
      <c r="H27" s="109"/>
      <c r="I27" s="110"/>
      <c r="J27" s="122"/>
      <c r="K27" s="123"/>
      <c r="M27" s="81"/>
      <c r="N27" s="82"/>
      <c r="O27" s="82"/>
      <c r="P27" s="82"/>
      <c r="Q27" s="83"/>
    </row>
    <row r="28" spans="1:17" ht="18" customHeight="1" x14ac:dyDescent="0.2">
      <c r="A28" s="38"/>
      <c r="B28" s="153"/>
      <c r="C28" s="30" t="s">
        <v>47</v>
      </c>
      <c r="D28" s="30">
        <v>15</v>
      </c>
      <c r="E28" s="103"/>
      <c r="F28" s="108"/>
      <c r="G28" s="109"/>
      <c r="H28" s="109"/>
      <c r="I28" s="110"/>
      <c r="J28" s="122"/>
      <c r="K28" s="123"/>
      <c r="M28" s="81"/>
      <c r="N28" s="82"/>
      <c r="O28" s="82"/>
      <c r="P28" s="82"/>
      <c r="Q28" s="83"/>
    </row>
    <row r="29" spans="1:17" ht="18" customHeight="1" x14ac:dyDescent="0.2">
      <c r="A29" s="38"/>
      <c r="B29" s="153"/>
      <c r="C29" s="30" t="s">
        <v>48</v>
      </c>
      <c r="D29" s="30">
        <v>16</v>
      </c>
      <c r="E29" s="103"/>
      <c r="F29" s="108"/>
      <c r="G29" s="109"/>
      <c r="H29" s="109"/>
      <c r="I29" s="110"/>
      <c r="J29" s="122"/>
      <c r="K29" s="123"/>
      <c r="M29" s="81"/>
      <c r="N29" s="82"/>
      <c r="O29" s="82"/>
      <c r="P29" s="82"/>
      <c r="Q29" s="83"/>
    </row>
    <row r="30" spans="1:17" ht="18" customHeight="1" x14ac:dyDescent="0.2">
      <c r="A30" s="38"/>
      <c r="B30" s="153"/>
      <c r="C30" s="30" t="s">
        <v>49</v>
      </c>
      <c r="D30" s="30">
        <v>17</v>
      </c>
      <c r="E30" s="103"/>
      <c r="F30" s="108"/>
      <c r="G30" s="109"/>
      <c r="H30" s="109"/>
      <c r="I30" s="110"/>
      <c r="J30" s="122"/>
      <c r="K30" s="123"/>
      <c r="M30" s="81"/>
      <c r="N30" s="82"/>
      <c r="O30" s="82"/>
      <c r="P30" s="82"/>
      <c r="Q30" s="83"/>
    </row>
    <row r="31" spans="1:17" ht="18" customHeight="1" thickBot="1" x14ac:dyDescent="0.25">
      <c r="A31" s="38"/>
      <c r="B31" s="154"/>
      <c r="C31" s="49" t="s">
        <v>50</v>
      </c>
      <c r="D31" s="49">
        <v>18</v>
      </c>
      <c r="E31" s="104"/>
      <c r="F31" s="111"/>
      <c r="G31" s="112"/>
      <c r="H31" s="112"/>
      <c r="I31" s="113"/>
      <c r="J31" s="124"/>
      <c r="K31" s="125"/>
      <c r="M31" s="81"/>
      <c r="N31" s="82"/>
      <c r="O31" s="82"/>
      <c r="P31" s="82"/>
      <c r="Q31" s="83"/>
    </row>
    <row r="32" spans="1:17" ht="18" customHeight="1" x14ac:dyDescent="0.2">
      <c r="A32" s="38"/>
      <c r="B32" s="157" t="s">
        <v>73</v>
      </c>
      <c r="C32" s="51" t="s">
        <v>51</v>
      </c>
      <c r="D32" s="51">
        <v>19</v>
      </c>
      <c r="E32" s="102" t="s">
        <v>74</v>
      </c>
      <c r="F32" s="105" t="s">
        <v>75</v>
      </c>
      <c r="G32" s="106"/>
      <c r="H32" s="106"/>
      <c r="I32" s="107"/>
      <c r="J32" s="120" t="s">
        <v>76</v>
      </c>
      <c r="K32" s="121"/>
      <c r="M32" s="81"/>
      <c r="N32" s="82"/>
      <c r="O32" s="82"/>
      <c r="P32" s="82"/>
      <c r="Q32" s="83"/>
    </row>
    <row r="33" spans="1:19" ht="18" customHeight="1" x14ac:dyDescent="0.2">
      <c r="A33" s="38"/>
      <c r="B33" s="158"/>
      <c r="C33" s="30" t="s">
        <v>45</v>
      </c>
      <c r="D33" s="30">
        <v>20</v>
      </c>
      <c r="E33" s="103"/>
      <c r="F33" s="108"/>
      <c r="G33" s="109"/>
      <c r="H33" s="109"/>
      <c r="I33" s="110"/>
      <c r="J33" s="122"/>
      <c r="K33" s="123"/>
      <c r="M33" s="81"/>
      <c r="N33" s="82"/>
      <c r="O33" s="82"/>
      <c r="P33" s="82"/>
      <c r="Q33" s="83"/>
    </row>
    <row r="34" spans="1:19" ht="18" customHeight="1" x14ac:dyDescent="0.2">
      <c r="A34" s="38"/>
      <c r="B34" s="158"/>
      <c r="C34" s="30" t="s">
        <v>46</v>
      </c>
      <c r="D34" s="30">
        <v>21</v>
      </c>
      <c r="E34" s="103"/>
      <c r="F34" s="108"/>
      <c r="G34" s="109"/>
      <c r="H34" s="109"/>
      <c r="I34" s="110"/>
      <c r="J34" s="122"/>
      <c r="K34" s="123"/>
      <c r="M34" s="81"/>
      <c r="N34" s="82"/>
      <c r="O34" s="82"/>
      <c r="P34" s="82"/>
      <c r="Q34" s="83"/>
    </row>
    <row r="35" spans="1:19" ht="16.5" customHeight="1" x14ac:dyDescent="0.2">
      <c r="A35" s="38"/>
      <c r="B35" s="158"/>
      <c r="C35" s="30" t="s">
        <v>47</v>
      </c>
      <c r="D35" s="30">
        <v>22</v>
      </c>
      <c r="E35" s="103"/>
      <c r="F35" s="108"/>
      <c r="G35" s="109"/>
      <c r="H35" s="109"/>
      <c r="I35" s="110"/>
      <c r="J35" s="122"/>
      <c r="K35" s="123"/>
      <c r="M35" s="81"/>
      <c r="N35" s="82"/>
      <c r="O35" s="82"/>
      <c r="P35" s="82"/>
      <c r="Q35" s="83"/>
    </row>
    <row r="36" spans="1:19" ht="15" x14ac:dyDescent="0.2">
      <c r="A36" s="38"/>
      <c r="B36" s="158"/>
      <c r="C36" s="30" t="s">
        <v>48</v>
      </c>
      <c r="D36" s="30">
        <v>23</v>
      </c>
      <c r="E36" s="103"/>
      <c r="F36" s="108"/>
      <c r="G36" s="109"/>
      <c r="H36" s="109"/>
      <c r="I36" s="110"/>
      <c r="J36" s="122"/>
      <c r="K36" s="123"/>
      <c r="M36" s="81"/>
      <c r="N36" s="82"/>
      <c r="O36" s="82"/>
      <c r="P36" s="82"/>
      <c r="Q36" s="83"/>
    </row>
    <row r="37" spans="1:19" ht="16.5" customHeight="1" x14ac:dyDescent="0.2">
      <c r="A37" s="38"/>
      <c r="B37" s="158"/>
      <c r="C37" s="30" t="s">
        <v>49</v>
      </c>
      <c r="D37" s="30">
        <v>24</v>
      </c>
      <c r="E37" s="103"/>
      <c r="F37" s="108"/>
      <c r="G37" s="109"/>
      <c r="H37" s="109"/>
      <c r="I37" s="110"/>
      <c r="J37" s="122"/>
      <c r="K37" s="123"/>
      <c r="M37" s="81"/>
      <c r="N37" s="82"/>
      <c r="O37" s="82"/>
      <c r="P37" s="82"/>
      <c r="Q37" s="83"/>
    </row>
    <row r="38" spans="1:19" ht="16.5" customHeight="1" thickBot="1" x14ac:dyDescent="0.25">
      <c r="A38" s="38"/>
      <c r="B38" s="159"/>
      <c r="C38" s="49" t="s">
        <v>50</v>
      </c>
      <c r="D38" s="49">
        <v>25</v>
      </c>
      <c r="E38" s="104"/>
      <c r="F38" s="111"/>
      <c r="G38" s="112"/>
      <c r="H38" s="112"/>
      <c r="I38" s="113"/>
      <c r="J38" s="124"/>
      <c r="K38" s="125"/>
      <c r="M38" s="81"/>
      <c r="N38" s="82"/>
      <c r="O38" s="82"/>
      <c r="P38" s="82"/>
      <c r="Q38" s="83"/>
    </row>
    <row r="39" spans="1:19" ht="25.15" customHeight="1" x14ac:dyDescent="0.2">
      <c r="A39" s="38"/>
      <c r="B39" s="152" t="s">
        <v>77</v>
      </c>
      <c r="C39" s="51" t="s">
        <v>51</v>
      </c>
      <c r="D39" s="51">
        <v>26</v>
      </c>
      <c r="E39" s="102" t="s">
        <v>78</v>
      </c>
      <c r="F39" s="126" t="s">
        <v>79</v>
      </c>
      <c r="G39" s="127"/>
      <c r="H39" s="127"/>
      <c r="I39" s="128"/>
      <c r="J39" s="120" t="s">
        <v>80</v>
      </c>
      <c r="K39" s="121"/>
      <c r="M39" s="81"/>
      <c r="N39" s="82"/>
      <c r="O39" s="82"/>
      <c r="P39" s="82"/>
      <c r="Q39" s="83"/>
    </row>
    <row r="40" spans="1:19" ht="25.15" customHeight="1" x14ac:dyDescent="0.2">
      <c r="A40" s="38"/>
      <c r="B40" s="153"/>
      <c r="C40" s="30" t="s">
        <v>45</v>
      </c>
      <c r="D40" s="30">
        <v>27</v>
      </c>
      <c r="E40" s="103"/>
      <c r="F40" s="129"/>
      <c r="G40" s="130"/>
      <c r="H40" s="130"/>
      <c r="I40" s="131"/>
      <c r="J40" s="122"/>
      <c r="K40" s="123"/>
      <c r="M40" s="81"/>
      <c r="N40" s="82"/>
      <c r="O40" s="82"/>
      <c r="P40" s="82"/>
      <c r="Q40" s="83"/>
    </row>
    <row r="41" spans="1:19" ht="25.15" customHeight="1" x14ac:dyDescent="0.2">
      <c r="A41" s="38"/>
      <c r="B41" s="153"/>
      <c r="C41" s="30" t="s">
        <v>46</v>
      </c>
      <c r="D41" s="30">
        <v>28</v>
      </c>
      <c r="E41" s="103"/>
      <c r="F41" s="129"/>
      <c r="G41" s="130"/>
      <c r="H41" s="130"/>
      <c r="I41" s="131"/>
      <c r="J41" s="122"/>
      <c r="K41" s="123"/>
      <c r="M41" s="81"/>
      <c r="N41" s="82"/>
      <c r="O41" s="82"/>
      <c r="P41" s="82"/>
      <c r="Q41" s="83"/>
    </row>
    <row r="42" spans="1:19" ht="25.15" customHeight="1" x14ac:dyDescent="0.2">
      <c r="A42" s="38"/>
      <c r="B42" s="153"/>
      <c r="C42" s="30" t="s">
        <v>47</v>
      </c>
      <c r="D42" s="31">
        <v>29</v>
      </c>
      <c r="E42" s="103"/>
      <c r="F42" s="129"/>
      <c r="G42" s="130"/>
      <c r="H42" s="130"/>
      <c r="I42" s="131"/>
      <c r="J42" s="122"/>
      <c r="K42" s="123"/>
      <c r="M42" s="90" t="s">
        <v>81</v>
      </c>
      <c r="N42" s="91"/>
      <c r="O42" s="91"/>
      <c r="P42" s="91"/>
      <c r="Q42" s="92"/>
    </row>
    <row r="43" spans="1:19" ht="25.15" customHeight="1" x14ac:dyDescent="0.2">
      <c r="A43" s="38"/>
      <c r="B43" s="153"/>
      <c r="C43" s="30" t="s">
        <v>48</v>
      </c>
      <c r="D43" s="31">
        <v>30</v>
      </c>
      <c r="E43" s="103"/>
      <c r="F43" s="129"/>
      <c r="G43" s="130"/>
      <c r="H43" s="130"/>
      <c r="I43" s="131"/>
      <c r="J43" s="122"/>
      <c r="K43" s="123"/>
      <c r="M43" s="84" t="s">
        <v>82</v>
      </c>
      <c r="N43" s="85"/>
      <c r="O43" s="85"/>
      <c r="P43" s="85"/>
      <c r="Q43" s="86"/>
      <c r="S43" s="74"/>
    </row>
    <row r="44" spans="1:19" ht="25.15" customHeight="1" x14ac:dyDescent="0.2">
      <c r="A44" s="38"/>
      <c r="B44" s="154"/>
      <c r="C44" s="53" t="s">
        <v>49</v>
      </c>
      <c r="D44" s="54">
        <v>31</v>
      </c>
      <c r="E44" s="104"/>
      <c r="F44" s="132"/>
      <c r="G44" s="133"/>
      <c r="H44" s="133"/>
      <c r="I44" s="134"/>
      <c r="J44" s="124"/>
      <c r="K44" s="125"/>
      <c r="M44" s="87"/>
      <c r="N44" s="88"/>
      <c r="O44" s="88"/>
      <c r="P44" s="88"/>
      <c r="Q44" s="89"/>
    </row>
    <row r="45" spans="1:19" ht="16.5" customHeight="1" x14ac:dyDescent="0.2">
      <c r="B45" s="52"/>
      <c r="M45" s="70"/>
      <c r="N45" s="70"/>
      <c r="O45" s="70"/>
      <c r="P45" s="70"/>
      <c r="Q45" s="70"/>
    </row>
    <row r="46" spans="1:19" ht="16.5" customHeight="1" x14ac:dyDescent="0.2">
      <c r="M46" s="71"/>
      <c r="N46" s="71"/>
      <c r="O46" s="71"/>
      <c r="P46" s="71"/>
      <c r="Q46" s="71"/>
    </row>
    <row r="47" spans="1:19" ht="16.5" customHeight="1" x14ac:dyDescent="0.2">
      <c r="M47" s="71"/>
      <c r="N47" s="71"/>
      <c r="O47" s="71"/>
      <c r="P47" s="71"/>
      <c r="Q47" s="71"/>
    </row>
    <row r="48" spans="1:19" ht="16.5" customHeight="1" x14ac:dyDescent="0.2">
      <c r="M48" s="71"/>
      <c r="N48" s="71"/>
      <c r="O48" s="71"/>
      <c r="P48" s="71"/>
      <c r="Q48" s="71"/>
    </row>
    <row r="49" spans="13:17" ht="16.5" customHeight="1" x14ac:dyDescent="0.2">
      <c r="M49" s="71"/>
      <c r="N49" s="71"/>
      <c r="O49" s="71"/>
      <c r="P49" s="71"/>
      <c r="Q49" s="71"/>
    </row>
    <row r="50" spans="13:17" ht="16.5" customHeight="1" x14ac:dyDescent="0.2">
      <c r="M50" s="71"/>
      <c r="N50" s="71"/>
      <c r="O50" s="71"/>
      <c r="P50" s="71"/>
      <c r="Q50" s="71"/>
    </row>
    <row r="51" spans="13:17" ht="16.5" customHeight="1" x14ac:dyDescent="0.2">
      <c r="M51" s="71"/>
      <c r="N51" s="71"/>
      <c r="O51" s="71"/>
      <c r="P51" s="71"/>
      <c r="Q51" s="71"/>
    </row>
    <row r="52" spans="13:17" ht="16.5" customHeight="1" x14ac:dyDescent="0.2">
      <c r="M52" s="71"/>
      <c r="N52" s="71"/>
      <c r="O52" s="71"/>
      <c r="P52" s="71"/>
      <c r="Q52" s="71"/>
    </row>
    <row r="53" spans="13:17" ht="16.5" customHeight="1" x14ac:dyDescent="0.2">
      <c r="M53" s="71"/>
      <c r="N53" s="71"/>
      <c r="O53" s="71"/>
      <c r="P53" s="71"/>
      <c r="Q53" s="71"/>
    </row>
    <row r="54" spans="13:17" ht="16.5" customHeight="1" x14ac:dyDescent="0.2">
      <c r="M54" s="71"/>
      <c r="N54" s="71"/>
      <c r="O54" s="71"/>
      <c r="P54" s="71"/>
      <c r="Q54" s="71"/>
    </row>
  </sheetData>
  <sheetProtection formatCells="0" formatColumns="0" formatRows="0" autoFilter="0"/>
  <mergeCells count="39">
    <mergeCell ref="J13:K13"/>
    <mergeCell ref="J14:K17"/>
    <mergeCell ref="B39:B44"/>
    <mergeCell ref="A2:B13"/>
    <mergeCell ref="B25:B31"/>
    <mergeCell ref="B32:B38"/>
    <mergeCell ref="B14:B17"/>
    <mergeCell ref="B18:B24"/>
    <mergeCell ref="C12:K12"/>
    <mergeCell ref="F13:I13"/>
    <mergeCell ref="F11:J11"/>
    <mergeCell ref="D3:D11"/>
    <mergeCell ref="K2:K3"/>
    <mergeCell ref="E14:E17"/>
    <mergeCell ref="E18:E24"/>
    <mergeCell ref="M12:Q13"/>
    <mergeCell ref="M3:Q3"/>
    <mergeCell ref="M4:Q4"/>
    <mergeCell ref="M5:Q5"/>
    <mergeCell ref="M6:Q6"/>
    <mergeCell ref="M7:Q7"/>
    <mergeCell ref="M8:Q8"/>
    <mergeCell ref="M9:Q9"/>
    <mergeCell ref="M10:Q10"/>
    <mergeCell ref="M14:Q41"/>
    <mergeCell ref="M43:Q44"/>
    <mergeCell ref="M42:Q42"/>
    <mergeCell ref="F18:I24"/>
    <mergeCell ref="E25:E31"/>
    <mergeCell ref="F25:I31"/>
    <mergeCell ref="J18:K24"/>
    <mergeCell ref="J25:K31"/>
    <mergeCell ref="E32:E38"/>
    <mergeCell ref="F32:I38"/>
    <mergeCell ref="J32:K38"/>
    <mergeCell ref="E39:E44"/>
    <mergeCell ref="F39:I44"/>
    <mergeCell ref="J39:K44"/>
    <mergeCell ref="F14:I17"/>
  </mergeCells>
  <phoneticPr fontId="1" type="noConversion"/>
  <conditionalFormatting sqref="C14:D44">
    <cfRule type="cellIs" dxfId="44" priority="7" operator="equal">
      <formula>$K$4</formula>
    </cfRule>
    <cfRule type="cellIs" dxfId="43" priority="8" operator="equal">
      <formula>$J$4</formula>
    </cfRule>
  </conditionalFormatting>
  <conditionalFormatting sqref="C14:F14 C15:D17 C18:F18 C19:D44 J14 J18 F25 E32:F32 J32 E39:F39 J39">
    <cfRule type="expression" dxfId="42" priority="9">
      <formula>#REF!="S"</formula>
    </cfRule>
  </conditionalFormatting>
  <conditionalFormatting sqref="C14:F14 J14 C15:D17 C18:F18 J18 C19:D44 F25 E32:F32 J32 E39:F39 J39">
    <cfRule type="expression" dxfId="41" priority="2">
      <formula>#REF!="D"</formula>
    </cfRule>
  </conditionalFormatting>
  <conditionalFormatting sqref="D14:D44">
    <cfRule type="expression" dxfId="40" priority="5">
      <formula>$C14=$K$4</formula>
    </cfRule>
    <cfRule type="expression" dxfId="39" priority="6">
      <formula>$C14=$J$4</formula>
    </cfRule>
  </conditionalFormatting>
  <conditionalFormatting sqref="E25">
    <cfRule type="expression" dxfId="38" priority="40">
      <formula>#REF!="D"</formula>
    </cfRule>
    <cfRule type="expression" dxfId="37" priority="41">
      <formula>#REF!="S"</formula>
    </cfRule>
  </conditionalFormatting>
  <conditionalFormatting sqref="E5:J5">
    <cfRule type="expression" dxfId="36" priority="13" stopIfTrue="1">
      <formula>DAY(E5)&gt;8</formula>
    </cfRule>
  </conditionalFormatting>
  <conditionalFormatting sqref="E5:K10">
    <cfRule type="cellIs" dxfId="35" priority="14" operator="equal">
      <formula>$D$2</formula>
    </cfRule>
  </conditionalFormatting>
  <conditionalFormatting sqref="E9:K10 E11 K11">
    <cfRule type="expression" dxfId="34" priority="12" stopIfTrue="1">
      <formula>AND(DAY(E9)&gt;=1,DAY(E9)&lt;=15)</formula>
    </cfRule>
  </conditionalFormatting>
  <conditionalFormatting sqref="J25">
    <cfRule type="expression" dxfId="33" priority="44">
      <formula>#REF!="D"</formula>
    </cfRule>
    <cfRule type="expression" dxfId="32" priority="45">
      <formula>#REF!="S"</formula>
    </cfRule>
  </conditionalFormatting>
  <conditionalFormatting sqref="M14">
    <cfRule type="cellIs" dxfId="31" priority="1" operator="greaterThan">
      <formula>0</formula>
    </cfRule>
  </conditionalFormatting>
  <dataValidations count="1">
    <dataValidation allowBlank="1" showInputMessage="1" showErrorMessage="1" errorTitle="Ano InvÃ¡lido" error="Insira uma ano de 1900 a 9999 ou use a barra de rolagem para localizar um ano." sqref="K2" xr:uid="{00000000-0002-0000-0100-000000000000}"/>
  </dataValidations>
  <hyperlinks>
    <hyperlink ref="M43:Q44" r:id="rId1" display="https://seesp-my.sharepoint.com/:f:/g/personal/coped_decegep_educacao_sp_gov_br/EhSXKUsxEH5AqRE27KdwDtIBeOGWO2PLohECLcrbJPS6hQ?e=xHQEC9" xr:uid="{F4D8069B-A9DA-44EA-A859-56BBD3249FFD}"/>
  </hyperlinks>
  <printOptions horizontalCentered="1" verticalCentered="1"/>
  <pageMargins left="0.5" right="0.5" top="0.5" bottom="0.5" header="0.3" footer="0.3"/>
  <pageSetup paperSize="9" scale="56" orientation="landscape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00A48E"/>
    <pageSetUpPr fitToPage="1"/>
  </sheetPr>
  <dimension ref="A1:S44"/>
  <sheetViews>
    <sheetView showGridLines="0" tabSelected="1" zoomScale="80" zoomScaleNormal="80" zoomScalePageLayoutView="84" workbookViewId="0">
      <pane xSplit="5" ySplit="13" topLeftCell="F21" activePane="bottomRight" state="frozen"/>
      <selection pane="topRight" activeCell="D1" sqref="D1"/>
      <selection pane="bottomLeft" activeCell="A13" sqref="A13"/>
      <selection pane="bottomRight" activeCell="J22" sqref="J22:K28"/>
    </sheetView>
  </sheetViews>
  <sheetFormatPr defaultColWidth="8.7109375" defaultRowHeight="16.5" customHeight="1" x14ac:dyDescent="0.2"/>
  <cols>
    <col min="1" max="2" width="3.28515625" style="3" customWidth="1"/>
    <col min="3" max="3" width="5.28515625" style="3" customWidth="1"/>
    <col min="4" max="4" width="6.5703125" style="3" customWidth="1"/>
    <col min="5" max="5" width="17.28515625" style="3" customWidth="1"/>
    <col min="6" max="10" width="17.7109375" style="3" customWidth="1"/>
    <col min="11" max="11" width="33.7109375" style="3" customWidth="1"/>
    <col min="12" max="12" width="3.28515625" style="3" customWidth="1"/>
    <col min="13" max="18" width="17" style="3" customWidth="1"/>
    <col min="19" max="16384" width="8.7109375" style="3"/>
  </cols>
  <sheetData>
    <row r="1" spans="1:18" ht="16.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1.25" customHeight="1" x14ac:dyDescent="0.2">
      <c r="A2" s="155" t="s">
        <v>39</v>
      </c>
      <c r="B2" s="156"/>
      <c r="D2" s="46">
        <f ca="1">TODAY()</f>
        <v>45751</v>
      </c>
      <c r="E2" s="4"/>
      <c r="F2" s="5"/>
      <c r="G2" s="4"/>
      <c r="H2" s="4"/>
      <c r="K2" s="198">
        <f>AnoCalendário</f>
        <v>2025</v>
      </c>
    </row>
    <row r="3" spans="1:18" ht="18" customHeight="1" x14ac:dyDescent="0.2">
      <c r="A3" s="156"/>
      <c r="B3" s="156"/>
      <c r="D3" s="165" t="s">
        <v>83</v>
      </c>
      <c r="E3" s="25" t="s">
        <v>84</v>
      </c>
      <c r="F3" s="26">
        <f>JAN!F3</f>
        <v>45658</v>
      </c>
      <c r="G3" s="6"/>
      <c r="J3" s="4"/>
      <c r="K3" s="199"/>
      <c r="M3" s="141" t="s">
        <v>44</v>
      </c>
      <c r="N3" s="142"/>
      <c r="O3" s="142"/>
      <c r="P3" s="142"/>
      <c r="Q3" s="142"/>
      <c r="R3" s="143"/>
    </row>
    <row r="4" spans="1:18" ht="21" customHeight="1" x14ac:dyDescent="0.2">
      <c r="A4" s="156"/>
      <c r="B4" s="156"/>
      <c r="D4" s="165"/>
      <c r="E4" s="45" t="s">
        <v>45</v>
      </c>
      <c r="F4" s="45" t="s">
        <v>46</v>
      </c>
      <c r="G4" s="45" t="s">
        <v>47</v>
      </c>
      <c r="H4" s="45" t="s">
        <v>48</v>
      </c>
      <c r="I4" s="45" t="s">
        <v>49</v>
      </c>
      <c r="J4" s="45" t="s">
        <v>50</v>
      </c>
      <c r="K4" s="45" t="s">
        <v>51</v>
      </c>
      <c r="M4" s="144" t="s">
        <v>85</v>
      </c>
      <c r="N4" s="145"/>
      <c r="O4" s="145"/>
      <c r="P4" s="145"/>
      <c r="Q4" s="145"/>
      <c r="R4" s="146"/>
    </row>
    <row r="5" spans="1:18" ht="18" customHeight="1" x14ac:dyDescent="0.2">
      <c r="A5" s="156"/>
      <c r="B5" s="156"/>
      <c r="D5" s="165"/>
      <c r="E5" s="62">
        <f>IF(DAY(FevSun1)=1,FevSun1-6,FevSun1+1)</f>
        <v>45684</v>
      </c>
      <c r="F5" s="62">
        <f>IF(DAY(FevSun1)=1,FevSun1-5,FevSun1+2)</f>
        <v>45685</v>
      </c>
      <c r="G5" s="62">
        <f>IF(DAY(FevSun1)=1,FevSun1-4,FevSun1+3)</f>
        <v>45686</v>
      </c>
      <c r="H5" s="62">
        <f>IF(DAY(FevSun1)=1,FevSun1-3,FevSun1+4)</f>
        <v>45687</v>
      </c>
      <c r="I5" s="62">
        <f>IF(DAY(FevSun1)=1,FevSun1-2,FevSun1+5)</f>
        <v>45688</v>
      </c>
      <c r="J5" s="62">
        <f>IF(DAY(FevSun1)=1,FevSun1-1,FevSun1+6)</f>
        <v>45689</v>
      </c>
      <c r="K5" s="63">
        <f>IF(DAY(FevSun1)=1,FevSun1,FevSun1+7)</f>
        <v>45690</v>
      </c>
      <c r="M5" s="144" t="s">
        <v>86</v>
      </c>
      <c r="N5" s="145"/>
      <c r="O5" s="145"/>
      <c r="P5" s="145"/>
      <c r="Q5" s="145"/>
      <c r="R5" s="146"/>
    </row>
    <row r="6" spans="1:18" ht="18" customHeight="1" x14ac:dyDescent="0.2">
      <c r="A6" s="156"/>
      <c r="B6" s="156"/>
      <c r="D6" s="165"/>
      <c r="E6" s="73">
        <f>IF(DAY(FevSun1)=1,FevSun1+1,FevSun1+8)</f>
        <v>45691</v>
      </c>
      <c r="F6" s="73">
        <f>IF(DAY(FevSun1)=1,FevSun1+2,FevSun1+9)</f>
        <v>45692</v>
      </c>
      <c r="G6" s="73">
        <f>IF(DAY(FevSun1)=1,FevSun1+3,FevSun1+10)</f>
        <v>45693</v>
      </c>
      <c r="H6" s="73">
        <f>IF(DAY(FevSun1)=1,FevSun1+4,FevSun1+11)</f>
        <v>45694</v>
      </c>
      <c r="I6" s="73">
        <f>IF(DAY(FevSun1)=1,FevSun1+5,FevSun1+12)</f>
        <v>45695</v>
      </c>
      <c r="J6" s="62">
        <f>IF(DAY(FevSun1)=1,FevSun1+6,FevSun1+13)</f>
        <v>45696</v>
      </c>
      <c r="K6" s="63">
        <f>IF(DAY(FevSun1)=1,FevSun1+7,FevSun1+14)</f>
        <v>45697</v>
      </c>
      <c r="M6" s="144" t="s">
        <v>87</v>
      </c>
      <c r="N6" s="145"/>
      <c r="O6" s="145"/>
      <c r="P6" s="145"/>
      <c r="Q6" s="145"/>
      <c r="R6" s="146"/>
    </row>
    <row r="7" spans="1:18" ht="18" customHeight="1" x14ac:dyDescent="0.2">
      <c r="A7" s="156"/>
      <c r="B7" s="156"/>
      <c r="D7" s="165"/>
      <c r="E7" s="73">
        <f>IF(DAY(FevSun1)=1,FevSun1+8,FevSun1+15)</f>
        <v>45698</v>
      </c>
      <c r="F7" s="73">
        <f>IF(DAY(FevSun1)=1,FevSun1+9,FevSun1+16)</f>
        <v>45699</v>
      </c>
      <c r="G7" s="73">
        <f>IF(DAY(FevSun1)=1,FevSun1+10,FevSun1+17)</f>
        <v>45700</v>
      </c>
      <c r="H7" s="73">
        <f>IF(DAY(FevSun1)=1,FevSun1+11,FevSun1+18)</f>
        <v>45701</v>
      </c>
      <c r="I7" s="73">
        <f>IF(DAY(FevSun1)=1,FevSun1+12,FevSun1+19)</f>
        <v>45702</v>
      </c>
      <c r="J7" s="62">
        <f>IF(DAY(FevSun1)=1,FevSun1+13,FevSun1+20)</f>
        <v>45703</v>
      </c>
      <c r="K7" s="63">
        <f>IF(DAY(FevSun1)=1,FevSun1+14,FevSun1+21)</f>
        <v>45704</v>
      </c>
      <c r="M7" s="144" t="s">
        <v>88</v>
      </c>
      <c r="N7" s="145"/>
      <c r="O7" s="145"/>
      <c r="P7" s="145"/>
      <c r="Q7" s="145"/>
      <c r="R7" s="146"/>
    </row>
    <row r="8" spans="1:18" ht="18" customHeight="1" x14ac:dyDescent="0.2">
      <c r="A8" s="156"/>
      <c r="B8" s="156"/>
      <c r="D8" s="165"/>
      <c r="E8" s="73">
        <f>IF(DAY(FevSun1)=1,FevSun1+15,FevSun1+22)</f>
        <v>45705</v>
      </c>
      <c r="F8" s="73">
        <f>IF(DAY(FevSun1)=1,FevSun1+16,FevSun1+23)</f>
        <v>45706</v>
      </c>
      <c r="G8" s="73">
        <f>IF(DAY(FevSun1)=1,FevSun1+17,FevSun1+24)</f>
        <v>45707</v>
      </c>
      <c r="H8" s="73">
        <f>IF(DAY(FevSun1)=1,FevSun1+18,FevSun1+25)</f>
        <v>45708</v>
      </c>
      <c r="I8" s="73">
        <f>IF(DAY(FevSun1)=1,FevSun1+19,FevSun1+26)</f>
        <v>45709</v>
      </c>
      <c r="J8" s="62">
        <f>IF(DAY(FevSun1)=1,FevSun1+20,FevSun1+27)</f>
        <v>45710</v>
      </c>
      <c r="K8" s="63">
        <f>IF(DAY(FevSun1)=1,FevSun1+21,FevSun1+28)</f>
        <v>45711</v>
      </c>
      <c r="M8" s="144" t="s">
        <v>89</v>
      </c>
      <c r="N8" s="145"/>
      <c r="O8" s="145"/>
      <c r="P8" s="145"/>
      <c r="Q8" s="145"/>
      <c r="R8" s="146"/>
    </row>
    <row r="9" spans="1:18" ht="18.75" customHeight="1" x14ac:dyDescent="0.2">
      <c r="A9" s="156"/>
      <c r="B9" s="156"/>
      <c r="D9" s="165"/>
      <c r="E9" s="73">
        <f>IF(DAY(FevSun1)=1,FevSun1+22,FevSun1+29)</f>
        <v>45712</v>
      </c>
      <c r="F9" s="73">
        <f>IF(DAY(FevSun1)=1,FevSun1+23,FevSun1+30)</f>
        <v>45713</v>
      </c>
      <c r="G9" s="73">
        <f>IF(DAY(FevSun1)=1,FevSun1+24,FevSun1+31)</f>
        <v>45714</v>
      </c>
      <c r="H9" s="73">
        <f>IF(DAY(FevSun1)=1,FevSun1+25,FevSun1+32)</f>
        <v>45715</v>
      </c>
      <c r="I9" s="73">
        <f>IF(DAY(FevSun1)=1,FevSun1+26,FevSun1+33)</f>
        <v>45716</v>
      </c>
      <c r="J9" s="62">
        <f>IF(DAY(FevSun1)=1,FevSun1+27,FevSun1+34)</f>
        <v>45717</v>
      </c>
      <c r="K9" s="62">
        <f>IF(DAY(FevSun1)=1,FevSun1+28,FevSun1+35)</f>
        <v>45718</v>
      </c>
      <c r="M9" s="144" t="s">
        <v>90</v>
      </c>
      <c r="N9" s="145"/>
      <c r="O9" s="145"/>
      <c r="P9" s="145"/>
      <c r="Q9" s="145"/>
      <c r="R9" s="146"/>
    </row>
    <row r="10" spans="1:18" ht="18" customHeight="1" x14ac:dyDescent="0.2">
      <c r="A10" s="156"/>
      <c r="B10" s="156"/>
      <c r="D10" s="165"/>
      <c r="E10" s="62">
        <f>IF(DAY(FevSun1)=1,FevSun1+29,FevSun1+36)</f>
        <v>45719</v>
      </c>
      <c r="F10" s="62">
        <f>IF(DAY(FevSun1)=1,FevSun1+30,FevSun1+37)</f>
        <v>45720</v>
      </c>
      <c r="G10" s="62">
        <f>IF(DAY(FevSun1)=1,FevSun1+31,FevSun1+38)</f>
        <v>45721</v>
      </c>
      <c r="H10" s="62">
        <f>IF(DAY(FevSun1)=1,FevSun1+32,FevSun1+39)</f>
        <v>45722</v>
      </c>
      <c r="I10" s="62">
        <f>IF(DAY(FevSun1)=1,FevSun1+33,FevSun1+40)</f>
        <v>45723</v>
      </c>
      <c r="J10" s="62">
        <f>IF(DAY(FevSun1)=1,FevSun1+34,FevSun1+41)</f>
        <v>45724</v>
      </c>
      <c r="K10" s="62">
        <f>IF(DAY(FevSun1)=1,FevSun1+35,FevSun1+42)</f>
        <v>45725</v>
      </c>
      <c r="M10" s="144" t="s">
        <v>91</v>
      </c>
      <c r="N10" s="145"/>
      <c r="O10" s="145"/>
      <c r="P10" s="145"/>
      <c r="Q10" s="145"/>
      <c r="R10" s="146"/>
    </row>
    <row r="11" spans="1:18" ht="18" customHeight="1" x14ac:dyDescent="0.2">
      <c r="A11" s="156"/>
      <c r="B11" s="156"/>
      <c r="D11" s="166"/>
      <c r="E11" s="35"/>
      <c r="F11" s="164"/>
      <c r="G11" s="164"/>
      <c r="H11" s="164"/>
      <c r="I11" s="164"/>
      <c r="J11" s="164"/>
      <c r="K11" s="35"/>
    </row>
    <row r="12" spans="1:18" ht="18" customHeight="1" x14ac:dyDescent="0.2">
      <c r="A12" s="156"/>
      <c r="B12" s="156"/>
      <c r="C12" s="160" t="str">
        <f>JAN!C12</f>
        <v>ESCOLA &lt;&lt;digite aqui o nome da escola&gt;&gt;</v>
      </c>
      <c r="D12" s="161"/>
      <c r="E12" s="161"/>
      <c r="F12" s="161"/>
      <c r="G12" s="161"/>
      <c r="H12" s="161"/>
      <c r="I12" s="161"/>
      <c r="J12" s="161"/>
      <c r="K12" s="161"/>
      <c r="L12" s="220" t="s">
        <v>92</v>
      </c>
      <c r="M12" s="221"/>
      <c r="N12" s="221"/>
      <c r="O12" s="221"/>
      <c r="P12" s="221"/>
      <c r="Q12" s="221"/>
      <c r="R12" s="222"/>
    </row>
    <row r="13" spans="1:18" ht="18" customHeight="1" thickBot="1" x14ac:dyDescent="0.3">
      <c r="A13" s="156"/>
      <c r="B13" s="156"/>
      <c r="C13" s="58" t="s">
        <v>61</v>
      </c>
      <c r="D13" s="58" t="s">
        <v>62</v>
      </c>
      <c r="E13" s="58" t="s">
        <v>93</v>
      </c>
      <c r="F13" s="197" t="s">
        <v>94</v>
      </c>
      <c r="G13" s="197"/>
      <c r="H13" s="197"/>
      <c r="I13" s="197"/>
      <c r="J13" s="150" t="s">
        <v>65</v>
      </c>
      <c r="K13" s="151"/>
      <c r="L13" s="194" t="s">
        <v>95</v>
      </c>
      <c r="M13" s="195"/>
      <c r="N13" s="196"/>
      <c r="O13" s="194" t="s">
        <v>96</v>
      </c>
      <c r="P13" s="195"/>
      <c r="Q13" s="194" t="s">
        <v>97</v>
      </c>
      <c r="R13" s="196"/>
    </row>
    <row r="14" spans="1:18" ht="19.899999999999999" customHeight="1" x14ac:dyDescent="0.2">
      <c r="A14" s="36"/>
      <c r="B14" s="152" t="s">
        <v>66</v>
      </c>
      <c r="C14" s="51" t="s">
        <v>50</v>
      </c>
      <c r="D14" s="51">
        <v>1</v>
      </c>
      <c r="E14" s="172" t="s">
        <v>98</v>
      </c>
      <c r="F14" s="126" t="s">
        <v>99</v>
      </c>
      <c r="G14" s="127"/>
      <c r="H14" s="127"/>
      <c r="I14" s="128"/>
      <c r="J14" s="120" t="s">
        <v>100</v>
      </c>
      <c r="K14" s="121"/>
      <c r="L14" s="200" t="s">
        <v>101</v>
      </c>
      <c r="M14" s="201"/>
      <c r="N14" s="202"/>
      <c r="O14" s="209" t="s">
        <v>102</v>
      </c>
      <c r="P14" s="210"/>
      <c r="Q14" s="209" t="s">
        <v>103</v>
      </c>
      <c r="R14" s="210"/>
    </row>
    <row r="15" spans="1:18" ht="19.899999999999999" customHeight="1" x14ac:dyDescent="0.2">
      <c r="A15" s="36"/>
      <c r="B15" s="153"/>
      <c r="C15" s="28" t="s">
        <v>51</v>
      </c>
      <c r="D15" s="28">
        <v>2</v>
      </c>
      <c r="E15" s="173"/>
      <c r="F15" s="129"/>
      <c r="G15" s="130"/>
      <c r="H15" s="130"/>
      <c r="I15" s="131"/>
      <c r="J15" s="122"/>
      <c r="K15" s="123"/>
      <c r="L15" s="203"/>
      <c r="M15" s="204"/>
      <c r="N15" s="205"/>
      <c r="O15" s="211"/>
      <c r="P15" s="212"/>
      <c r="Q15" s="211"/>
      <c r="R15" s="212"/>
    </row>
    <row r="16" spans="1:18" ht="19.899999999999999" customHeight="1" x14ac:dyDescent="0.2">
      <c r="A16" s="36"/>
      <c r="B16" s="153"/>
      <c r="C16" s="30" t="s">
        <v>45</v>
      </c>
      <c r="D16" s="30">
        <v>3</v>
      </c>
      <c r="E16" s="173"/>
      <c r="F16" s="129"/>
      <c r="G16" s="130"/>
      <c r="H16" s="130"/>
      <c r="I16" s="131"/>
      <c r="J16" s="122"/>
      <c r="K16" s="123"/>
      <c r="L16" s="203"/>
      <c r="M16" s="204"/>
      <c r="N16" s="205"/>
      <c r="O16" s="211"/>
      <c r="P16" s="212"/>
      <c r="Q16" s="211"/>
      <c r="R16" s="212"/>
    </row>
    <row r="17" spans="1:19" ht="19.899999999999999" customHeight="1" x14ac:dyDescent="0.2">
      <c r="A17" s="36"/>
      <c r="B17" s="153"/>
      <c r="C17" s="30" t="s">
        <v>46</v>
      </c>
      <c r="D17" s="30">
        <v>4</v>
      </c>
      <c r="E17" s="173"/>
      <c r="F17" s="129"/>
      <c r="G17" s="130"/>
      <c r="H17" s="130"/>
      <c r="I17" s="131"/>
      <c r="J17" s="122"/>
      <c r="K17" s="123"/>
      <c r="L17" s="203"/>
      <c r="M17" s="204"/>
      <c r="N17" s="205"/>
      <c r="O17" s="211"/>
      <c r="P17" s="212"/>
      <c r="Q17" s="211"/>
      <c r="R17" s="212"/>
      <c r="S17" s="74"/>
    </row>
    <row r="18" spans="1:19" ht="19.899999999999999" customHeight="1" x14ac:dyDescent="0.2">
      <c r="A18" s="36"/>
      <c r="B18" s="153"/>
      <c r="C18" s="30" t="s">
        <v>47</v>
      </c>
      <c r="D18" s="30">
        <v>5</v>
      </c>
      <c r="E18" s="173"/>
      <c r="F18" s="129"/>
      <c r="G18" s="130"/>
      <c r="H18" s="130"/>
      <c r="I18" s="131"/>
      <c r="J18" s="122"/>
      <c r="K18" s="123"/>
      <c r="L18" s="203"/>
      <c r="M18" s="204"/>
      <c r="N18" s="205"/>
      <c r="O18" s="211"/>
      <c r="P18" s="212"/>
      <c r="Q18" s="211"/>
      <c r="R18" s="212"/>
    </row>
    <row r="19" spans="1:19" ht="19.899999999999999" customHeight="1" x14ac:dyDescent="0.2">
      <c r="A19" s="36"/>
      <c r="B19" s="153"/>
      <c r="C19" s="30" t="s">
        <v>48</v>
      </c>
      <c r="D19" s="30">
        <v>6</v>
      </c>
      <c r="E19" s="173"/>
      <c r="F19" s="129"/>
      <c r="G19" s="130"/>
      <c r="H19" s="130"/>
      <c r="I19" s="131"/>
      <c r="J19" s="122"/>
      <c r="K19" s="123"/>
      <c r="L19" s="203"/>
      <c r="M19" s="204"/>
      <c r="N19" s="205"/>
      <c r="O19" s="211"/>
      <c r="P19" s="212"/>
      <c r="Q19" s="211"/>
      <c r="R19" s="212"/>
      <c r="S19" s="74"/>
    </row>
    <row r="20" spans="1:19" ht="19.899999999999999" customHeight="1" x14ac:dyDescent="0.2">
      <c r="A20" s="36"/>
      <c r="B20" s="153"/>
      <c r="C20" s="30" t="s">
        <v>49</v>
      </c>
      <c r="D20" s="30">
        <v>7</v>
      </c>
      <c r="E20" s="173"/>
      <c r="F20" s="129"/>
      <c r="G20" s="130"/>
      <c r="H20" s="130"/>
      <c r="I20" s="131"/>
      <c r="J20" s="122"/>
      <c r="K20" s="123"/>
      <c r="L20" s="203"/>
      <c r="M20" s="204"/>
      <c r="N20" s="205"/>
      <c r="O20" s="211"/>
      <c r="P20" s="212"/>
      <c r="Q20" s="211"/>
      <c r="R20" s="212"/>
    </row>
    <row r="21" spans="1:19" ht="19.899999999999999" customHeight="1" thickBot="1" x14ac:dyDescent="0.25">
      <c r="A21" s="36"/>
      <c r="B21" s="154"/>
      <c r="C21" s="49" t="s">
        <v>50</v>
      </c>
      <c r="D21" s="49">
        <v>8</v>
      </c>
      <c r="E21" s="174"/>
      <c r="F21" s="132"/>
      <c r="G21" s="133"/>
      <c r="H21" s="133"/>
      <c r="I21" s="134"/>
      <c r="J21" s="124"/>
      <c r="K21" s="125"/>
      <c r="L21" s="206"/>
      <c r="M21" s="207"/>
      <c r="N21" s="208"/>
      <c r="O21" s="213"/>
      <c r="P21" s="214"/>
      <c r="Q21" s="213"/>
      <c r="R21" s="214"/>
    </row>
    <row r="22" spans="1:19" ht="18" customHeight="1" x14ac:dyDescent="0.2">
      <c r="A22" s="36"/>
      <c r="B22" s="157" t="s">
        <v>68</v>
      </c>
      <c r="C22" s="51" t="s">
        <v>51</v>
      </c>
      <c r="D22" s="51">
        <v>9</v>
      </c>
      <c r="E22" s="191" t="s">
        <v>104</v>
      </c>
      <c r="F22" s="105" t="s">
        <v>105</v>
      </c>
      <c r="G22" s="106"/>
      <c r="H22" s="106"/>
      <c r="I22" s="107"/>
      <c r="J22" s="120" t="s">
        <v>106</v>
      </c>
      <c r="K22" s="121"/>
      <c r="L22" s="200" t="s">
        <v>107</v>
      </c>
      <c r="M22" s="201"/>
      <c r="N22" s="202"/>
      <c r="O22" s="209" t="s">
        <v>108</v>
      </c>
      <c r="P22" s="210"/>
      <c r="Q22" s="209" t="s">
        <v>109</v>
      </c>
      <c r="R22" s="210"/>
    </row>
    <row r="23" spans="1:19" ht="18" customHeight="1" x14ac:dyDescent="0.2">
      <c r="A23" s="36"/>
      <c r="B23" s="158"/>
      <c r="C23" s="30" t="s">
        <v>45</v>
      </c>
      <c r="D23" s="30">
        <v>10</v>
      </c>
      <c r="E23" s="192"/>
      <c r="F23" s="108"/>
      <c r="G23" s="109"/>
      <c r="H23" s="109"/>
      <c r="I23" s="110"/>
      <c r="J23" s="122"/>
      <c r="K23" s="123"/>
      <c r="L23" s="203"/>
      <c r="M23" s="204"/>
      <c r="N23" s="205"/>
      <c r="O23" s="211"/>
      <c r="P23" s="212"/>
      <c r="Q23" s="211"/>
      <c r="R23" s="212"/>
    </row>
    <row r="24" spans="1:19" ht="18" customHeight="1" x14ac:dyDescent="0.2">
      <c r="A24" s="36"/>
      <c r="B24" s="158"/>
      <c r="C24" s="30" t="s">
        <v>46</v>
      </c>
      <c r="D24" s="30">
        <v>11</v>
      </c>
      <c r="E24" s="192"/>
      <c r="F24" s="108"/>
      <c r="G24" s="109"/>
      <c r="H24" s="109"/>
      <c r="I24" s="110"/>
      <c r="J24" s="122"/>
      <c r="K24" s="123"/>
      <c r="L24" s="203"/>
      <c r="M24" s="204"/>
      <c r="N24" s="205"/>
      <c r="O24" s="211"/>
      <c r="P24" s="212"/>
      <c r="Q24" s="211"/>
      <c r="R24" s="212"/>
    </row>
    <row r="25" spans="1:19" ht="18" customHeight="1" x14ac:dyDescent="0.2">
      <c r="A25" s="36"/>
      <c r="B25" s="158"/>
      <c r="C25" s="30" t="s">
        <v>47</v>
      </c>
      <c r="D25" s="30">
        <v>12</v>
      </c>
      <c r="E25" s="192"/>
      <c r="F25" s="108"/>
      <c r="G25" s="109"/>
      <c r="H25" s="109"/>
      <c r="I25" s="110"/>
      <c r="J25" s="122"/>
      <c r="K25" s="123"/>
      <c r="L25" s="203"/>
      <c r="M25" s="204"/>
      <c r="N25" s="205"/>
      <c r="O25" s="211"/>
      <c r="P25" s="212"/>
      <c r="Q25" s="211"/>
      <c r="R25" s="212"/>
    </row>
    <row r="26" spans="1:19" ht="18" customHeight="1" x14ac:dyDescent="0.2">
      <c r="A26" s="36"/>
      <c r="B26" s="158"/>
      <c r="C26" s="30" t="s">
        <v>48</v>
      </c>
      <c r="D26" s="30">
        <v>13</v>
      </c>
      <c r="E26" s="192"/>
      <c r="F26" s="108"/>
      <c r="G26" s="109"/>
      <c r="H26" s="109"/>
      <c r="I26" s="110"/>
      <c r="J26" s="122"/>
      <c r="K26" s="123"/>
      <c r="L26" s="203"/>
      <c r="M26" s="204"/>
      <c r="N26" s="205"/>
      <c r="O26" s="211"/>
      <c r="P26" s="212"/>
      <c r="Q26" s="211"/>
      <c r="R26" s="212"/>
    </row>
    <row r="27" spans="1:19" ht="18" customHeight="1" x14ac:dyDescent="0.2">
      <c r="A27" s="36"/>
      <c r="B27" s="158"/>
      <c r="C27" s="30" t="s">
        <v>49</v>
      </c>
      <c r="D27" s="30">
        <v>14</v>
      </c>
      <c r="E27" s="192"/>
      <c r="F27" s="108"/>
      <c r="G27" s="109"/>
      <c r="H27" s="109"/>
      <c r="I27" s="110"/>
      <c r="J27" s="122"/>
      <c r="K27" s="123"/>
      <c r="L27" s="203"/>
      <c r="M27" s="204"/>
      <c r="N27" s="205"/>
      <c r="O27" s="211"/>
      <c r="P27" s="212"/>
      <c r="Q27" s="211"/>
      <c r="R27" s="212"/>
    </row>
    <row r="28" spans="1:19" ht="29.45" customHeight="1" thickBot="1" x14ac:dyDescent="0.25">
      <c r="A28" s="36"/>
      <c r="B28" s="159"/>
      <c r="C28" s="49" t="s">
        <v>50</v>
      </c>
      <c r="D28" s="49">
        <v>15</v>
      </c>
      <c r="E28" s="193"/>
      <c r="F28" s="111"/>
      <c r="G28" s="112"/>
      <c r="H28" s="112"/>
      <c r="I28" s="113"/>
      <c r="J28" s="124"/>
      <c r="K28" s="125"/>
      <c r="L28" s="206"/>
      <c r="M28" s="207"/>
      <c r="N28" s="208"/>
      <c r="O28" s="213"/>
      <c r="P28" s="214"/>
      <c r="Q28" s="213"/>
      <c r="R28" s="214"/>
    </row>
    <row r="29" spans="1:19" ht="18" customHeight="1" x14ac:dyDescent="0.2">
      <c r="A29" s="36"/>
      <c r="B29" s="152" t="s">
        <v>69</v>
      </c>
      <c r="C29" s="51" t="s">
        <v>51</v>
      </c>
      <c r="D29" s="51">
        <v>16</v>
      </c>
      <c r="E29" s="191" t="s">
        <v>110</v>
      </c>
      <c r="F29" s="105" t="s">
        <v>111</v>
      </c>
      <c r="G29" s="106"/>
      <c r="H29" s="106"/>
      <c r="I29" s="107"/>
      <c r="J29" s="120" t="s">
        <v>112</v>
      </c>
      <c r="K29" s="121"/>
      <c r="L29" s="200" t="s">
        <v>113</v>
      </c>
      <c r="M29" s="201"/>
      <c r="N29" s="202"/>
      <c r="O29" s="209" t="s">
        <v>114</v>
      </c>
      <c r="P29" s="202"/>
      <c r="Q29" s="209" t="s">
        <v>115</v>
      </c>
      <c r="R29" s="210"/>
    </row>
    <row r="30" spans="1:19" ht="18" customHeight="1" x14ac:dyDescent="0.2">
      <c r="A30" s="36"/>
      <c r="B30" s="153"/>
      <c r="C30" s="30" t="s">
        <v>45</v>
      </c>
      <c r="D30" s="30">
        <v>17</v>
      </c>
      <c r="E30" s="192"/>
      <c r="F30" s="108"/>
      <c r="G30" s="109"/>
      <c r="H30" s="109"/>
      <c r="I30" s="110"/>
      <c r="J30" s="122"/>
      <c r="K30" s="123"/>
      <c r="L30" s="203"/>
      <c r="M30" s="204"/>
      <c r="N30" s="205"/>
      <c r="O30" s="218"/>
      <c r="P30" s="205"/>
      <c r="Q30" s="211"/>
      <c r="R30" s="212"/>
    </row>
    <row r="31" spans="1:19" ht="18" customHeight="1" x14ac:dyDescent="0.2">
      <c r="A31" s="36"/>
      <c r="B31" s="153"/>
      <c r="C31" s="30" t="s">
        <v>46</v>
      </c>
      <c r="D31" s="30">
        <v>18</v>
      </c>
      <c r="E31" s="192"/>
      <c r="F31" s="108"/>
      <c r="G31" s="109"/>
      <c r="H31" s="109"/>
      <c r="I31" s="110"/>
      <c r="J31" s="122"/>
      <c r="K31" s="123"/>
      <c r="L31" s="203"/>
      <c r="M31" s="204"/>
      <c r="N31" s="205"/>
      <c r="O31" s="218"/>
      <c r="P31" s="205"/>
      <c r="Q31" s="211"/>
      <c r="R31" s="212"/>
    </row>
    <row r="32" spans="1:19" ht="18" customHeight="1" x14ac:dyDescent="0.2">
      <c r="A32" s="36"/>
      <c r="B32" s="153"/>
      <c r="C32" s="30" t="s">
        <v>47</v>
      </c>
      <c r="D32" s="30">
        <v>19</v>
      </c>
      <c r="E32" s="192"/>
      <c r="F32" s="108"/>
      <c r="G32" s="109"/>
      <c r="H32" s="109"/>
      <c r="I32" s="110"/>
      <c r="J32" s="122"/>
      <c r="K32" s="123"/>
      <c r="L32" s="203"/>
      <c r="M32" s="204"/>
      <c r="N32" s="205"/>
      <c r="O32" s="218"/>
      <c r="P32" s="205"/>
      <c r="Q32" s="211"/>
      <c r="R32" s="212"/>
    </row>
    <row r="33" spans="1:18" ht="18" customHeight="1" x14ac:dyDescent="0.2">
      <c r="A33" s="36"/>
      <c r="B33" s="153"/>
      <c r="C33" s="30" t="s">
        <v>48</v>
      </c>
      <c r="D33" s="30">
        <v>20</v>
      </c>
      <c r="E33" s="192"/>
      <c r="F33" s="108"/>
      <c r="G33" s="109"/>
      <c r="H33" s="109"/>
      <c r="I33" s="110"/>
      <c r="J33" s="122"/>
      <c r="K33" s="123"/>
      <c r="L33" s="203"/>
      <c r="M33" s="204"/>
      <c r="N33" s="205"/>
      <c r="O33" s="218"/>
      <c r="P33" s="205"/>
      <c r="Q33" s="211"/>
      <c r="R33" s="212"/>
    </row>
    <row r="34" spans="1:18" ht="18" customHeight="1" x14ac:dyDescent="0.2">
      <c r="A34" s="36"/>
      <c r="B34" s="153"/>
      <c r="C34" s="30" t="s">
        <v>49</v>
      </c>
      <c r="D34" s="30">
        <v>21</v>
      </c>
      <c r="E34" s="192"/>
      <c r="F34" s="108"/>
      <c r="G34" s="109"/>
      <c r="H34" s="109"/>
      <c r="I34" s="110"/>
      <c r="J34" s="122"/>
      <c r="K34" s="123"/>
      <c r="L34" s="203"/>
      <c r="M34" s="204"/>
      <c r="N34" s="205"/>
      <c r="O34" s="218"/>
      <c r="P34" s="205"/>
      <c r="Q34" s="211"/>
      <c r="R34" s="212"/>
    </row>
    <row r="35" spans="1:18" ht="16.5" customHeight="1" thickBot="1" x14ac:dyDescent="0.25">
      <c r="A35" s="36"/>
      <c r="B35" s="154"/>
      <c r="C35" s="49" t="s">
        <v>50</v>
      </c>
      <c r="D35" s="49">
        <v>22</v>
      </c>
      <c r="E35" s="193"/>
      <c r="F35" s="111"/>
      <c r="G35" s="112"/>
      <c r="H35" s="112"/>
      <c r="I35" s="113"/>
      <c r="J35" s="124"/>
      <c r="K35" s="125"/>
      <c r="L35" s="206"/>
      <c r="M35" s="207"/>
      <c r="N35" s="208"/>
      <c r="O35" s="219"/>
      <c r="P35" s="208"/>
      <c r="Q35" s="213"/>
      <c r="R35" s="214"/>
    </row>
    <row r="36" spans="1:18" ht="16.5" customHeight="1" x14ac:dyDescent="0.2">
      <c r="A36" s="36"/>
      <c r="B36" s="157" t="s">
        <v>73</v>
      </c>
      <c r="C36" s="51" t="s">
        <v>51</v>
      </c>
      <c r="D36" s="51">
        <v>23</v>
      </c>
      <c r="E36" s="191" t="s">
        <v>116</v>
      </c>
      <c r="F36" s="105" t="s">
        <v>117</v>
      </c>
      <c r="G36" s="106"/>
      <c r="H36" s="106"/>
      <c r="I36" s="107"/>
      <c r="J36" s="120" t="s">
        <v>112</v>
      </c>
      <c r="K36" s="121"/>
      <c r="L36" s="201" t="s">
        <v>118</v>
      </c>
      <c r="M36" s="215"/>
      <c r="N36" s="210"/>
      <c r="O36" s="209" t="s">
        <v>119</v>
      </c>
      <c r="P36" s="202"/>
      <c r="Q36" s="209" t="s">
        <v>120</v>
      </c>
      <c r="R36" s="210"/>
    </row>
    <row r="37" spans="1:18" ht="16.5" customHeight="1" x14ac:dyDescent="0.2">
      <c r="A37" s="36"/>
      <c r="B37" s="158"/>
      <c r="C37" s="30" t="s">
        <v>45</v>
      </c>
      <c r="D37" s="30">
        <v>24</v>
      </c>
      <c r="E37" s="192"/>
      <c r="F37" s="108"/>
      <c r="G37" s="109"/>
      <c r="H37" s="109"/>
      <c r="I37" s="110"/>
      <c r="J37" s="122"/>
      <c r="K37" s="123"/>
      <c r="L37" s="216"/>
      <c r="M37" s="216"/>
      <c r="N37" s="212"/>
      <c r="O37" s="218"/>
      <c r="P37" s="205"/>
      <c r="Q37" s="211"/>
      <c r="R37" s="212"/>
    </row>
    <row r="38" spans="1:18" ht="28.15" customHeight="1" x14ac:dyDescent="0.2">
      <c r="A38" s="36"/>
      <c r="B38" s="158"/>
      <c r="C38" s="30" t="s">
        <v>46</v>
      </c>
      <c r="D38" s="30">
        <v>25</v>
      </c>
      <c r="E38" s="192"/>
      <c r="F38" s="108"/>
      <c r="G38" s="109"/>
      <c r="H38" s="109"/>
      <c r="I38" s="110"/>
      <c r="J38" s="122"/>
      <c r="K38" s="123"/>
      <c r="L38" s="216"/>
      <c r="M38" s="216"/>
      <c r="N38" s="212"/>
      <c r="O38" s="218"/>
      <c r="P38" s="205"/>
      <c r="Q38" s="211"/>
      <c r="R38" s="212"/>
    </row>
    <row r="39" spans="1:18" ht="16.5" customHeight="1" x14ac:dyDescent="0.2">
      <c r="A39" s="36"/>
      <c r="B39" s="158"/>
      <c r="C39" s="30" t="s">
        <v>47</v>
      </c>
      <c r="D39" s="30">
        <v>26</v>
      </c>
      <c r="E39" s="192"/>
      <c r="F39" s="108"/>
      <c r="G39" s="109"/>
      <c r="H39" s="109"/>
      <c r="I39" s="110"/>
      <c r="J39" s="122"/>
      <c r="K39" s="123"/>
      <c r="L39" s="216"/>
      <c r="M39" s="216"/>
      <c r="N39" s="212"/>
      <c r="O39" s="218"/>
      <c r="P39" s="205"/>
      <c r="Q39" s="211"/>
      <c r="R39" s="212"/>
    </row>
    <row r="40" spans="1:18" ht="16.5" customHeight="1" x14ac:dyDescent="0.2">
      <c r="A40" s="36"/>
      <c r="B40" s="158"/>
      <c r="C40" s="30" t="s">
        <v>48</v>
      </c>
      <c r="D40" s="30">
        <v>27</v>
      </c>
      <c r="E40" s="192"/>
      <c r="F40" s="108"/>
      <c r="G40" s="109"/>
      <c r="H40" s="109"/>
      <c r="I40" s="110"/>
      <c r="J40" s="122"/>
      <c r="K40" s="123"/>
      <c r="L40" s="216"/>
      <c r="M40" s="216"/>
      <c r="N40" s="212"/>
      <c r="O40" s="218"/>
      <c r="P40" s="205"/>
      <c r="Q40" s="211"/>
      <c r="R40" s="212"/>
    </row>
    <row r="41" spans="1:18" ht="16.5" customHeight="1" x14ac:dyDescent="0.2">
      <c r="A41" s="36"/>
      <c r="B41" s="158"/>
      <c r="C41" s="30" t="s">
        <v>49</v>
      </c>
      <c r="D41" s="30">
        <v>28</v>
      </c>
      <c r="E41" s="192"/>
      <c r="F41" s="108"/>
      <c r="G41" s="109"/>
      <c r="H41" s="109"/>
      <c r="I41" s="110"/>
      <c r="J41" s="122"/>
      <c r="K41" s="123"/>
      <c r="L41" s="216"/>
      <c r="M41" s="216"/>
      <c r="N41" s="212"/>
      <c r="O41" s="218"/>
      <c r="P41" s="205"/>
      <c r="Q41" s="211"/>
      <c r="R41" s="212"/>
    </row>
    <row r="42" spans="1:18" ht="16.5" customHeight="1" thickBot="1" x14ac:dyDescent="0.25">
      <c r="A42" s="36"/>
      <c r="B42" s="159"/>
      <c r="C42" s="59"/>
      <c r="D42" s="59"/>
      <c r="E42" s="193"/>
      <c r="F42" s="111"/>
      <c r="G42" s="112"/>
      <c r="H42" s="112"/>
      <c r="I42" s="113"/>
      <c r="J42" s="124"/>
      <c r="K42" s="125"/>
      <c r="L42" s="216"/>
      <c r="M42" s="216"/>
      <c r="N42" s="212"/>
      <c r="O42" s="218"/>
      <c r="P42" s="205"/>
      <c r="Q42" s="211"/>
      <c r="R42" s="212"/>
    </row>
    <row r="43" spans="1:18" ht="16.5" customHeight="1" x14ac:dyDescent="0.2">
      <c r="A43" s="36"/>
      <c r="B43" s="36"/>
      <c r="C43" s="179"/>
      <c r="D43" s="180"/>
      <c r="E43" s="181"/>
      <c r="F43" s="185"/>
      <c r="G43" s="186"/>
      <c r="H43" s="186"/>
      <c r="I43" s="187"/>
      <c r="J43" s="175"/>
      <c r="K43" s="176"/>
      <c r="L43" s="216"/>
      <c r="M43" s="216"/>
      <c r="N43" s="212"/>
      <c r="O43" s="218"/>
      <c r="P43" s="205"/>
      <c r="Q43" s="211"/>
      <c r="R43" s="212"/>
    </row>
    <row r="44" spans="1:18" ht="16.5" customHeight="1" x14ac:dyDescent="0.2">
      <c r="A44" s="36"/>
      <c r="B44" s="36"/>
      <c r="C44" s="182"/>
      <c r="D44" s="183"/>
      <c r="E44" s="184"/>
      <c r="F44" s="188"/>
      <c r="G44" s="189"/>
      <c r="H44" s="189"/>
      <c r="I44" s="190"/>
      <c r="J44" s="177"/>
      <c r="K44" s="178"/>
      <c r="L44" s="217"/>
      <c r="M44" s="217"/>
      <c r="N44" s="214"/>
      <c r="O44" s="219"/>
      <c r="P44" s="208"/>
      <c r="Q44" s="213"/>
      <c r="R44" s="214"/>
    </row>
  </sheetData>
  <sheetProtection formatCells="0" formatColumns="0" formatRows="0"/>
  <mergeCells count="50">
    <mergeCell ref="M5:R5"/>
    <mergeCell ref="M6:R6"/>
    <mergeCell ref="M7:R7"/>
    <mergeCell ref="L12:R12"/>
    <mergeCell ref="L14:N21"/>
    <mergeCell ref="O14:P21"/>
    <mergeCell ref="Q14:R21"/>
    <mergeCell ref="O13:P13"/>
    <mergeCell ref="Q13:R13"/>
    <mergeCell ref="L29:N35"/>
    <mergeCell ref="L36:N44"/>
    <mergeCell ref="O29:P35"/>
    <mergeCell ref="O36:P44"/>
    <mergeCell ref="Q29:R35"/>
    <mergeCell ref="Q36:R44"/>
    <mergeCell ref="L22:N28"/>
    <mergeCell ref="O22:P28"/>
    <mergeCell ref="Q22:R28"/>
    <mergeCell ref="E22:E28"/>
    <mergeCell ref="F22:I28"/>
    <mergeCell ref="B29:B35"/>
    <mergeCell ref="B36:B42"/>
    <mergeCell ref="L13:N13"/>
    <mergeCell ref="J22:K28"/>
    <mergeCell ref="F13:I13"/>
    <mergeCell ref="A2:B13"/>
    <mergeCell ref="B14:B21"/>
    <mergeCell ref="B22:B28"/>
    <mergeCell ref="M8:R8"/>
    <mergeCell ref="M9:R9"/>
    <mergeCell ref="M10:R10"/>
    <mergeCell ref="K2:K3"/>
    <mergeCell ref="M3:R3"/>
    <mergeCell ref="M4:R4"/>
    <mergeCell ref="J13:K13"/>
    <mergeCell ref="J14:K21"/>
    <mergeCell ref="J43:K44"/>
    <mergeCell ref="C43:E44"/>
    <mergeCell ref="F43:I44"/>
    <mergeCell ref="E29:E35"/>
    <mergeCell ref="F29:I35"/>
    <mergeCell ref="J29:K35"/>
    <mergeCell ref="E36:E42"/>
    <mergeCell ref="F36:I42"/>
    <mergeCell ref="J36:K42"/>
    <mergeCell ref="F11:J11"/>
    <mergeCell ref="D3:D11"/>
    <mergeCell ref="C12:K12"/>
    <mergeCell ref="E14:E21"/>
    <mergeCell ref="F14:I21"/>
  </mergeCells>
  <conditionalFormatting sqref="C14:D42 C43">
    <cfRule type="cellIs" dxfId="30" priority="11" operator="equal">
      <formula>$K$4</formula>
    </cfRule>
    <cfRule type="cellIs" dxfId="29" priority="12" operator="equal">
      <formula>$J$4</formula>
    </cfRule>
  </conditionalFormatting>
  <conditionalFormatting sqref="C14:F14 C15:D42 J14 E22:F22 J22 E29:F29 J29 E36:F36 J36 C43 F43 J43">
    <cfRule type="expression" dxfId="28" priority="13">
      <formula>#REF!="S"</formula>
    </cfRule>
  </conditionalFormatting>
  <conditionalFormatting sqref="C14:F14 J14 C15:D42 E22:F22 J22 E29:F29 J29 E36:F36 J36 C43 F43 J43">
    <cfRule type="expression" dxfId="27" priority="4">
      <formula>#REF!="D"</formula>
    </cfRule>
  </conditionalFormatting>
  <conditionalFormatting sqref="D14:D42">
    <cfRule type="expression" dxfId="26" priority="9">
      <formula>$C14=$K$4</formula>
    </cfRule>
    <cfRule type="expression" dxfId="25" priority="10">
      <formula>$C14=$J$4</formula>
    </cfRule>
  </conditionalFormatting>
  <conditionalFormatting sqref="E5:J5">
    <cfRule type="expression" dxfId="24" priority="17" stopIfTrue="1">
      <formula>DAY(E5)&gt;8</formula>
    </cfRule>
  </conditionalFormatting>
  <conditionalFormatting sqref="E5:K10">
    <cfRule type="cellIs" dxfId="23" priority="18" operator="equal">
      <formula>$D$2</formula>
    </cfRule>
  </conditionalFormatting>
  <conditionalFormatting sqref="E9:K10 E11 K11">
    <cfRule type="expression" dxfId="22" priority="16" stopIfTrue="1">
      <formula>AND(DAY(E9)&gt;=1,DAY(E9)&lt;=15)</formula>
    </cfRule>
  </conditionalFormatting>
  <printOptions horizontalCentered="1" verticalCentered="1"/>
  <pageMargins left="0.5" right="0.5" top="0.5" bottom="0.5" header="0.3" footer="0.3"/>
  <pageSetup paperSize="9" scale="49" orientation="landscape" r:id="rId1"/>
  <ignoredErrors>
    <ignoredError sqref="F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00A48E"/>
    <pageSetUpPr fitToPage="1"/>
  </sheetPr>
  <dimension ref="A1:R44"/>
  <sheetViews>
    <sheetView showGridLines="0" zoomScale="97" zoomScaleNormal="70" zoomScalePageLayoutView="84" workbookViewId="0">
      <pane xSplit="5" ySplit="13" topLeftCell="F14" activePane="bottomRight" state="frozen"/>
      <selection pane="topRight" activeCell="D1" sqref="D1"/>
      <selection pane="bottomLeft" activeCell="A13" sqref="A13"/>
      <selection pane="bottomRight" activeCell="E14" sqref="E14:E42"/>
    </sheetView>
  </sheetViews>
  <sheetFormatPr defaultColWidth="8.7109375" defaultRowHeight="16.5" customHeight="1" x14ac:dyDescent="0.2"/>
  <cols>
    <col min="1" max="2" width="3.42578125" style="3" customWidth="1"/>
    <col min="3" max="3" width="5.28515625" style="3" customWidth="1"/>
    <col min="4" max="4" width="6.5703125" style="3" customWidth="1"/>
    <col min="5" max="5" width="15.7109375" style="3" customWidth="1"/>
    <col min="6" max="10" width="17.7109375" style="3" customWidth="1"/>
    <col min="11" max="11" width="33.7109375" style="3" customWidth="1"/>
    <col min="12" max="12" width="4.140625" style="3" customWidth="1"/>
    <col min="13" max="18" width="17" style="3" customWidth="1"/>
    <col min="19" max="25" width="8.85546875" style="3" customWidth="1"/>
    <col min="26" max="16384" width="8.7109375" style="3"/>
  </cols>
  <sheetData>
    <row r="1" spans="1:18" ht="16.5" customHeight="1" x14ac:dyDescent="0.2">
      <c r="A1" s="39"/>
      <c r="B1" s="39"/>
      <c r="C1" s="39"/>
      <c r="D1" s="5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1.25" customHeight="1" x14ac:dyDescent="0.2">
      <c r="A2" s="155" t="s">
        <v>39</v>
      </c>
      <c r="B2" s="156"/>
      <c r="D2" s="27">
        <f ca="1">TODAY()</f>
        <v>45751</v>
      </c>
      <c r="E2" s="4"/>
      <c r="F2" s="5"/>
      <c r="G2" s="4"/>
      <c r="H2" s="4"/>
      <c r="K2" s="198">
        <f>AnoCalendário</f>
        <v>2025</v>
      </c>
    </row>
    <row r="3" spans="1:18" ht="18" customHeight="1" x14ac:dyDescent="0.2">
      <c r="A3" s="156"/>
      <c r="B3" s="156"/>
      <c r="D3" s="165" t="s">
        <v>121</v>
      </c>
      <c r="E3" s="25" t="s">
        <v>84</v>
      </c>
      <c r="F3" s="26">
        <f>JAN!F3</f>
        <v>45658</v>
      </c>
      <c r="G3" s="6"/>
      <c r="J3" s="4"/>
      <c r="K3" s="245"/>
      <c r="M3" s="141" t="s">
        <v>44</v>
      </c>
      <c r="N3" s="142"/>
      <c r="O3" s="142"/>
      <c r="P3" s="142"/>
      <c r="Q3" s="142"/>
      <c r="R3" s="143"/>
    </row>
    <row r="4" spans="1:18" ht="23.25" customHeight="1" x14ac:dyDescent="0.2">
      <c r="A4" s="156"/>
      <c r="B4" s="156"/>
      <c r="D4" s="165"/>
      <c r="E4" s="61" t="s">
        <v>45</v>
      </c>
      <c r="F4" s="61" t="s">
        <v>46</v>
      </c>
      <c r="G4" s="61" t="s">
        <v>47</v>
      </c>
      <c r="H4" s="61" t="s">
        <v>48</v>
      </c>
      <c r="I4" s="61" t="s">
        <v>49</v>
      </c>
      <c r="J4" s="61" t="s">
        <v>50</v>
      </c>
      <c r="K4" s="61" t="s">
        <v>51</v>
      </c>
      <c r="M4" s="144" t="s">
        <v>122</v>
      </c>
      <c r="N4" s="145"/>
      <c r="O4" s="145"/>
      <c r="P4" s="145"/>
      <c r="Q4" s="145"/>
      <c r="R4" s="146"/>
    </row>
    <row r="5" spans="1:18" ht="18" customHeight="1" x14ac:dyDescent="0.2">
      <c r="A5" s="156"/>
      <c r="B5" s="156"/>
      <c r="D5" s="165"/>
      <c r="E5" s="62">
        <f>IF(DAY(MarSun1)=1,MarSun1-6,MarSun1+1)</f>
        <v>45712</v>
      </c>
      <c r="F5" s="62">
        <f>IF(DAY(MarSun1)=1,MarSun1-5,MarSun1+2)</f>
        <v>45713</v>
      </c>
      <c r="G5" s="62">
        <f>IF(DAY(MarSun1)=1,MarSun1-4,MarSun1+3)</f>
        <v>45714</v>
      </c>
      <c r="H5" s="62">
        <f>IF(DAY(MarSun1)=1,MarSun1-3,MarSun1+4)</f>
        <v>45715</v>
      </c>
      <c r="I5" s="62">
        <f>IF(DAY(MarSun1)=1,MarSun1-2,MarSun1+5)</f>
        <v>45716</v>
      </c>
      <c r="J5" s="64">
        <f>IF(DAY(MarSun1)=1,MarSun1-1,MarSun1+6)</f>
        <v>45717</v>
      </c>
      <c r="K5" s="63">
        <f>IF(DAY(MarSun1)=1,MarSun1,MarSun1+7)</f>
        <v>45718</v>
      </c>
      <c r="M5" s="144" t="s">
        <v>123</v>
      </c>
      <c r="N5" s="145"/>
      <c r="O5" s="145"/>
      <c r="P5" s="145"/>
      <c r="Q5" s="145"/>
      <c r="R5" s="146"/>
    </row>
    <row r="6" spans="1:18" ht="18" customHeight="1" x14ac:dyDescent="0.2">
      <c r="A6" s="156"/>
      <c r="B6" s="156"/>
      <c r="D6" s="165"/>
      <c r="E6" s="73">
        <f>IF(DAY(MarSun1)=1,MarSun1+1,MarSun1+8)</f>
        <v>45719</v>
      </c>
      <c r="F6" s="63">
        <f>IF(DAY(MarSun1)=1,MarSun1+2,MarSun1+9)</f>
        <v>45720</v>
      </c>
      <c r="G6" s="73">
        <f>IF(DAY(MarSun1)=1,MarSun1+3,MarSun1+10)</f>
        <v>45721</v>
      </c>
      <c r="H6" s="73">
        <f>IF(DAY(MarSun1)=1,MarSun1+4,MarSun1+11)</f>
        <v>45722</v>
      </c>
      <c r="I6" s="73">
        <f>IF(DAY(MarSun1)=1,MarSun1+5,MarSun1+12)</f>
        <v>45723</v>
      </c>
      <c r="J6" s="64">
        <f>IF(DAY(MarSun1)=1,MarSun1+6,MarSun1+13)</f>
        <v>45724</v>
      </c>
      <c r="K6" s="63">
        <f>IF(DAY(MarSun1)=1,MarSun1+7,MarSun1+14)</f>
        <v>45725</v>
      </c>
      <c r="M6" s="144" t="s">
        <v>87</v>
      </c>
      <c r="N6" s="145"/>
      <c r="O6" s="145"/>
      <c r="P6" s="145"/>
      <c r="Q6" s="145"/>
      <c r="R6" s="146"/>
    </row>
    <row r="7" spans="1:18" ht="18" customHeight="1" x14ac:dyDescent="0.2">
      <c r="A7" s="156"/>
      <c r="B7" s="156"/>
      <c r="D7" s="165"/>
      <c r="E7" s="73">
        <f>IF(DAY(MarSun1)=1,MarSun1+8,MarSun1+15)</f>
        <v>45726</v>
      </c>
      <c r="F7" s="73">
        <f>IF(DAY(MarSun1)=1,MarSun1+9,MarSun1+16)</f>
        <v>45727</v>
      </c>
      <c r="G7" s="73">
        <f>IF(DAY(MarSun1)=1,MarSun1+10,MarSun1+17)</f>
        <v>45728</v>
      </c>
      <c r="H7" s="73">
        <f>IF(DAY(MarSun1)=1,MarSun1+11,MarSun1+18)</f>
        <v>45729</v>
      </c>
      <c r="I7" s="73">
        <f>IF(DAY(MarSun1)=1,MarSun1+12,MarSun1+19)</f>
        <v>45730</v>
      </c>
      <c r="J7" s="64">
        <f>IF(DAY(MarSun1)=1,MarSun1+13,MarSun1+20)</f>
        <v>45731</v>
      </c>
      <c r="K7" s="63">
        <f>IF(DAY(MarSun1)=1,MarSun1+14,MarSun1+21)</f>
        <v>45732</v>
      </c>
      <c r="M7" s="144" t="s">
        <v>88</v>
      </c>
      <c r="N7" s="145"/>
      <c r="O7" s="145"/>
      <c r="P7" s="145"/>
      <c r="Q7" s="145"/>
      <c r="R7" s="146"/>
    </row>
    <row r="8" spans="1:18" ht="18" customHeight="1" x14ac:dyDescent="0.2">
      <c r="A8" s="156"/>
      <c r="B8" s="156"/>
      <c r="D8" s="165"/>
      <c r="E8" s="73">
        <f>IF(DAY(MarSun1)=1,MarSun1+15,MarSun1+22)</f>
        <v>45733</v>
      </c>
      <c r="F8" s="73">
        <f>IF(DAY(MarSun1)=1,MarSun1+16,MarSun1+23)</f>
        <v>45734</v>
      </c>
      <c r="G8" s="73">
        <f>IF(DAY(MarSun1)=1,MarSun1+17,MarSun1+24)</f>
        <v>45735</v>
      </c>
      <c r="H8" s="73">
        <f>IF(DAY(MarSun1)=1,MarSun1+18,MarSun1+25)</f>
        <v>45736</v>
      </c>
      <c r="I8" s="73">
        <f>IF(DAY(MarSun1)=1,MarSun1+19,MarSun1+26)</f>
        <v>45737</v>
      </c>
      <c r="J8" s="64">
        <f>IF(DAY(MarSun1)=1,MarSun1+20,MarSun1+27)</f>
        <v>45738</v>
      </c>
      <c r="K8" s="63">
        <f>IF(DAY(MarSun1)=1,MarSun1+21,MarSun1+28)</f>
        <v>45739</v>
      </c>
      <c r="M8" s="144" t="s">
        <v>89</v>
      </c>
      <c r="N8" s="145"/>
      <c r="O8" s="145"/>
      <c r="P8" s="145"/>
      <c r="Q8" s="145"/>
      <c r="R8" s="146"/>
    </row>
    <row r="9" spans="1:18" ht="18.75" customHeight="1" x14ac:dyDescent="0.2">
      <c r="A9" s="156"/>
      <c r="B9" s="156"/>
      <c r="D9" s="165"/>
      <c r="E9" s="73">
        <f>IF(DAY(MarSun1)=1,MarSun1+22,MarSun1+29)</f>
        <v>45740</v>
      </c>
      <c r="F9" s="73">
        <f>IF(DAY(MarSun1)=1,MarSun1+23,MarSun1+30)</f>
        <v>45741</v>
      </c>
      <c r="G9" s="73">
        <f>IF(DAY(MarSun1)=1,MarSun1+24,MarSun1+31)</f>
        <v>45742</v>
      </c>
      <c r="H9" s="73">
        <f>IF(DAY(MarSun1)=1,MarSun1+25,MarSun1+32)</f>
        <v>45743</v>
      </c>
      <c r="I9" s="73">
        <f>IF(DAY(MarSun1)=1,MarSun1+26,MarSun1+33)</f>
        <v>45744</v>
      </c>
      <c r="J9" s="64">
        <f>IF(DAY(MarSun1)=1,MarSun1+27,MarSun1+34)</f>
        <v>45745</v>
      </c>
      <c r="K9" s="63">
        <f>IF(DAY(MarSun1)=1,MarSun1+28,MarSun1+35)</f>
        <v>45746</v>
      </c>
      <c r="M9" s="144" t="s">
        <v>90</v>
      </c>
      <c r="N9" s="145"/>
      <c r="O9" s="145"/>
      <c r="P9" s="145"/>
      <c r="Q9" s="145"/>
      <c r="R9" s="146"/>
    </row>
    <row r="10" spans="1:18" ht="18" customHeight="1" x14ac:dyDescent="0.2">
      <c r="A10" s="156"/>
      <c r="B10" s="156"/>
      <c r="D10" s="165"/>
      <c r="E10" s="62">
        <f>IF(DAY(MarSun1)=1,MarSun1+29,MarSun1+36)</f>
        <v>45747</v>
      </c>
      <c r="F10" s="62">
        <f>IF(DAY(MarSun1)=1,MarSun1+30,MarSun1+37)</f>
        <v>45748</v>
      </c>
      <c r="G10" s="62">
        <f>IF(DAY(MarSun1)=1,MarSun1+31,MarSun1+38)</f>
        <v>45749</v>
      </c>
      <c r="H10" s="62">
        <f>IF(DAY(MarSun1)=1,MarSun1+32,MarSun1+39)</f>
        <v>45750</v>
      </c>
      <c r="I10" s="62">
        <f>IF(DAY(MarSun1)=1,MarSun1+33,MarSun1+40)</f>
        <v>45751</v>
      </c>
      <c r="J10" s="62">
        <f>IF(DAY(MarSun1)=1,MarSun1+34,MarSun1+41)</f>
        <v>45752</v>
      </c>
      <c r="K10" s="62">
        <f>IF(DAY(MarSun1)=1,MarSun1+35,MarSun1+42)</f>
        <v>45753</v>
      </c>
      <c r="M10" s="144" t="s">
        <v>91</v>
      </c>
      <c r="N10" s="145"/>
      <c r="O10" s="145"/>
      <c r="P10" s="145"/>
      <c r="Q10" s="145"/>
      <c r="R10" s="146"/>
    </row>
    <row r="11" spans="1:18" ht="18" customHeight="1" x14ac:dyDescent="0.2">
      <c r="A11" s="156"/>
      <c r="B11" s="156"/>
      <c r="D11" s="166"/>
      <c r="E11" s="35"/>
      <c r="F11" s="164"/>
      <c r="G11" s="164"/>
      <c r="H11" s="164"/>
      <c r="I11" s="164"/>
      <c r="J11" s="164"/>
      <c r="K11" s="35"/>
    </row>
    <row r="12" spans="1:18" ht="18" customHeight="1" x14ac:dyDescent="0.2">
      <c r="A12" s="156"/>
      <c r="B12" s="156"/>
      <c r="C12" s="75" t="str">
        <f>JAN!C12</f>
        <v>ESCOLA &lt;&lt;digite aqui o nome da escola&gt;&gt;</v>
      </c>
      <c r="D12" s="76"/>
      <c r="E12" s="76"/>
      <c r="F12" s="76"/>
      <c r="G12" s="76"/>
      <c r="H12" s="76"/>
      <c r="I12" s="76"/>
      <c r="J12" s="76"/>
      <c r="K12" s="76"/>
      <c r="L12" s="220" t="s">
        <v>92</v>
      </c>
      <c r="M12" s="221"/>
      <c r="N12" s="221"/>
      <c r="O12" s="221"/>
      <c r="P12" s="221"/>
      <c r="Q12" s="221"/>
      <c r="R12" s="222"/>
    </row>
    <row r="13" spans="1:18" ht="18" customHeight="1" thickBot="1" x14ac:dyDescent="0.3">
      <c r="A13" s="156"/>
      <c r="B13" s="156"/>
      <c r="C13" s="58" t="s">
        <v>61</v>
      </c>
      <c r="D13" s="58" t="s">
        <v>62</v>
      </c>
      <c r="E13" s="58" t="s">
        <v>93</v>
      </c>
      <c r="F13" s="197" t="s">
        <v>94</v>
      </c>
      <c r="G13" s="197"/>
      <c r="H13" s="197"/>
      <c r="I13" s="197"/>
      <c r="J13" s="150" t="s">
        <v>65</v>
      </c>
      <c r="K13" s="151"/>
      <c r="L13" s="194" t="s">
        <v>95</v>
      </c>
      <c r="M13" s="195"/>
      <c r="N13" s="196"/>
      <c r="O13" s="194" t="s">
        <v>96</v>
      </c>
      <c r="P13" s="195"/>
      <c r="Q13" s="194" t="s">
        <v>97</v>
      </c>
      <c r="R13" s="196"/>
    </row>
    <row r="14" spans="1:18" ht="18" customHeight="1" x14ac:dyDescent="0.2">
      <c r="A14" s="36"/>
      <c r="B14" s="152" t="s">
        <v>66</v>
      </c>
      <c r="C14" s="51" t="s">
        <v>50</v>
      </c>
      <c r="D14" s="28">
        <v>1</v>
      </c>
      <c r="E14" s="172" t="s">
        <v>124</v>
      </c>
      <c r="F14" s="105" t="s">
        <v>125</v>
      </c>
      <c r="G14" s="106"/>
      <c r="H14" s="106"/>
      <c r="I14" s="107"/>
      <c r="J14" s="120" t="s">
        <v>126</v>
      </c>
      <c r="K14" s="121"/>
      <c r="L14" s="246" t="s">
        <v>127</v>
      </c>
      <c r="M14" s="215"/>
      <c r="N14" s="210"/>
      <c r="O14" s="209" t="s">
        <v>128</v>
      </c>
      <c r="P14" s="210"/>
      <c r="Q14" s="209" t="s">
        <v>129</v>
      </c>
      <c r="R14" s="210"/>
    </row>
    <row r="15" spans="1:18" ht="18" customHeight="1" x14ac:dyDescent="0.2">
      <c r="A15" s="36"/>
      <c r="B15" s="153"/>
      <c r="C15" s="28" t="s">
        <v>51</v>
      </c>
      <c r="D15" s="28">
        <v>2</v>
      </c>
      <c r="E15" s="173"/>
      <c r="F15" s="108"/>
      <c r="G15" s="109"/>
      <c r="H15" s="109"/>
      <c r="I15" s="110"/>
      <c r="J15" s="122"/>
      <c r="K15" s="123"/>
      <c r="L15" s="231"/>
      <c r="M15" s="216"/>
      <c r="N15" s="212"/>
      <c r="O15" s="211"/>
      <c r="P15" s="212"/>
      <c r="Q15" s="211"/>
      <c r="R15" s="212"/>
    </row>
    <row r="16" spans="1:18" ht="37.9" customHeight="1" x14ac:dyDescent="0.2">
      <c r="A16" s="36"/>
      <c r="B16" s="153"/>
      <c r="C16" s="30" t="s">
        <v>45</v>
      </c>
      <c r="D16" s="30">
        <v>3</v>
      </c>
      <c r="E16" s="173"/>
      <c r="F16" s="108"/>
      <c r="G16" s="109"/>
      <c r="H16" s="109"/>
      <c r="I16" s="110"/>
      <c r="J16" s="122"/>
      <c r="K16" s="123"/>
      <c r="L16" s="231"/>
      <c r="M16" s="216"/>
      <c r="N16" s="212"/>
      <c r="O16" s="211"/>
      <c r="P16" s="212"/>
      <c r="Q16" s="211"/>
      <c r="R16" s="212"/>
    </row>
    <row r="17" spans="1:18" ht="18" customHeight="1" x14ac:dyDescent="0.2">
      <c r="A17" s="36"/>
      <c r="B17" s="153"/>
      <c r="C17" s="30" t="s">
        <v>46</v>
      </c>
      <c r="D17" s="30">
        <v>4</v>
      </c>
      <c r="E17" s="173"/>
      <c r="F17" s="108"/>
      <c r="G17" s="109"/>
      <c r="H17" s="109"/>
      <c r="I17" s="110"/>
      <c r="J17" s="122"/>
      <c r="K17" s="123"/>
      <c r="L17" s="231"/>
      <c r="M17" s="216"/>
      <c r="N17" s="212"/>
      <c r="O17" s="211"/>
      <c r="P17" s="212"/>
      <c r="Q17" s="211"/>
      <c r="R17" s="212"/>
    </row>
    <row r="18" spans="1:18" ht="18" customHeight="1" x14ac:dyDescent="0.2">
      <c r="A18" s="36"/>
      <c r="B18" s="153"/>
      <c r="C18" s="30" t="s">
        <v>47</v>
      </c>
      <c r="D18" s="30">
        <v>5</v>
      </c>
      <c r="E18" s="173"/>
      <c r="F18" s="108"/>
      <c r="G18" s="109"/>
      <c r="H18" s="109"/>
      <c r="I18" s="110"/>
      <c r="J18" s="122"/>
      <c r="K18" s="123"/>
      <c r="L18" s="231"/>
      <c r="M18" s="216"/>
      <c r="N18" s="212"/>
      <c r="O18" s="211"/>
      <c r="P18" s="212"/>
      <c r="Q18" s="211"/>
      <c r="R18" s="212"/>
    </row>
    <row r="19" spans="1:18" ht="18" customHeight="1" x14ac:dyDescent="0.2">
      <c r="A19" s="36"/>
      <c r="B19" s="153"/>
      <c r="C19" s="30" t="s">
        <v>48</v>
      </c>
      <c r="D19" s="30">
        <v>6</v>
      </c>
      <c r="E19" s="173"/>
      <c r="F19" s="108"/>
      <c r="G19" s="109"/>
      <c r="H19" s="109"/>
      <c r="I19" s="110"/>
      <c r="J19" s="122"/>
      <c r="K19" s="123"/>
      <c r="L19" s="231"/>
      <c r="M19" s="216"/>
      <c r="N19" s="212"/>
      <c r="O19" s="211"/>
      <c r="P19" s="212"/>
      <c r="Q19" s="211"/>
      <c r="R19" s="212"/>
    </row>
    <row r="20" spans="1:18" ht="18" customHeight="1" x14ac:dyDescent="0.2">
      <c r="A20" s="36"/>
      <c r="B20" s="153"/>
      <c r="C20" s="30" t="s">
        <v>49</v>
      </c>
      <c r="D20" s="30">
        <v>7</v>
      </c>
      <c r="E20" s="173"/>
      <c r="F20" s="108"/>
      <c r="G20" s="109"/>
      <c r="H20" s="109"/>
      <c r="I20" s="110"/>
      <c r="J20" s="122"/>
      <c r="K20" s="123"/>
      <c r="L20" s="231"/>
      <c r="M20" s="216"/>
      <c r="N20" s="212"/>
      <c r="O20" s="211"/>
      <c r="P20" s="212"/>
      <c r="Q20" s="211"/>
      <c r="R20" s="212"/>
    </row>
    <row r="21" spans="1:18" ht="18" customHeight="1" thickBot="1" x14ac:dyDescent="0.25">
      <c r="A21" s="36"/>
      <c r="B21" s="154"/>
      <c r="C21" s="60" t="s">
        <v>50</v>
      </c>
      <c r="D21" s="49">
        <v>8</v>
      </c>
      <c r="E21" s="174"/>
      <c r="F21" s="111"/>
      <c r="G21" s="112"/>
      <c r="H21" s="112"/>
      <c r="I21" s="113"/>
      <c r="J21" s="124"/>
      <c r="K21" s="125"/>
      <c r="L21" s="232"/>
      <c r="M21" s="217"/>
      <c r="N21" s="214"/>
      <c r="O21" s="213"/>
      <c r="P21" s="214"/>
      <c r="Q21" s="213"/>
      <c r="R21" s="214"/>
    </row>
    <row r="22" spans="1:18" ht="18" customHeight="1" x14ac:dyDescent="0.2">
      <c r="A22" s="36"/>
      <c r="B22" s="157" t="s">
        <v>68</v>
      </c>
      <c r="C22" s="51" t="s">
        <v>51</v>
      </c>
      <c r="D22" s="51">
        <v>9</v>
      </c>
      <c r="E22" s="233" t="s">
        <v>130</v>
      </c>
      <c r="F22" s="236" t="s">
        <v>131</v>
      </c>
      <c r="G22" s="237"/>
      <c r="H22" s="237"/>
      <c r="I22" s="238"/>
      <c r="J22" s="120" t="s">
        <v>132</v>
      </c>
      <c r="K22" s="121"/>
      <c r="L22" s="246" t="s">
        <v>133</v>
      </c>
      <c r="M22" s="215"/>
      <c r="N22" s="210"/>
      <c r="O22" s="209" t="s">
        <v>134</v>
      </c>
      <c r="P22" s="202"/>
      <c r="Q22" s="209" t="s">
        <v>135</v>
      </c>
      <c r="R22" s="210"/>
    </row>
    <row r="23" spans="1:18" ht="18" customHeight="1" x14ac:dyDescent="0.2">
      <c r="A23" s="36"/>
      <c r="B23" s="158"/>
      <c r="C23" s="30" t="s">
        <v>45</v>
      </c>
      <c r="D23" s="30">
        <v>10</v>
      </c>
      <c r="E23" s="234"/>
      <c r="F23" s="239"/>
      <c r="G23" s="240"/>
      <c r="H23" s="240"/>
      <c r="I23" s="241"/>
      <c r="J23" s="122"/>
      <c r="K23" s="123"/>
      <c r="L23" s="231"/>
      <c r="M23" s="216"/>
      <c r="N23" s="212"/>
      <c r="O23" s="218"/>
      <c r="P23" s="205"/>
      <c r="Q23" s="211"/>
      <c r="R23" s="212"/>
    </row>
    <row r="24" spans="1:18" ht="18" customHeight="1" x14ac:dyDescent="0.2">
      <c r="A24" s="36"/>
      <c r="B24" s="158"/>
      <c r="C24" s="30" t="s">
        <v>46</v>
      </c>
      <c r="D24" s="30">
        <v>11</v>
      </c>
      <c r="E24" s="234"/>
      <c r="F24" s="239"/>
      <c r="G24" s="240"/>
      <c r="H24" s="240"/>
      <c r="I24" s="241"/>
      <c r="J24" s="122"/>
      <c r="K24" s="123"/>
      <c r="L24" s="231"/>
      <c r="M24" s="216"/>
      <c r="N24" s="212"/>
      <c r="O24" s="218"/>
      <c r="P24" s="205"/>
      <c r="Q24" s="211"/>
      <c r="R24" s="212"/>
    </row>
    <row r="25" spans="1:18" ht="18" customHeight="1" x14ac:dyDescent="0.2">
      <c r="A25" s="36"/>
      <c r="B25" s="158"/>
      <c r="C25" s="30" t="s">
        <v>47</v>
      </c>
      <c r="D25" s="30">
        <v>12</v>
      </c>
      <c r="E25" s="234"/>
      <c r="F25" s="239"/>
      <c r="G25" s="240"/>
      <c r="H25" s="240"/>
      <c r="I25" s="241"/>
      <c r="J25" s="122"/>
      <c r="K25" s="123"/>
      <c r="L25" s="231"/>
      <c r="M25" s="216"/>
      <c r="N25" s="212"/>
      <c r="O25" s="218"/>
      <c r="P25" s="205"/>
      <c r="Q25" s="211"/>
      <c r="R25" s="212"/>
    </row>
    <row r="26" spans="1:18" ht="18" customHeight="1" x14ac:dyDescent="0.2">
      <c r="A26" s="36"/>
      <c r="B26" s="158"/>
      <c r="C26" s="30" t="s">
        <v>48</v>
      </c>
      <c r="D26" s="30">
        <v>13</v>
      </c>
      <c r="E26" s="234"/>
      <c r="F26" s="239"/>
      <c r="G26" s="240"/>
      <c r="H26" s="240"/>
      <c r="I26" s="241"/>
      <c r="J26" s="122"/>
      <c r="K26" s="123"/>
      <c r="L26" s="231"/>
      <c r="M26" s="216"/>
      <c r="N26" s="212"/>
      <c r="O26" s="218"/>
      <c r="P26" s="205"/>
      <c r="Q26" s="211"/>
      <c r="R26" s="212"/>
    </row>
    <row r="27" spans="1:18" ht="18" customHeight="1" x14ac:dyDescent="0.2">
      <c r="A27" s="36"/>
      <c r="B27" s="158"/>
      <c r="C27" s="29" t="s">
        <v>49</v>
      </c>
      <c r="D27" s="29">
        <v>14</v>
      </c>
      <c r="E27" s="234"/>
      <c r="F27" s="239"/>
      <c r="G27" s="240"/>
      <c r="H27" s="240"/>
      <c r="I27" s="241"/>
      <c r="J27" s="122"/>
      <c r="K27" s="123"/>
      <c r="L27" s="231"/>
      <c r="M27" s="216"/>
      <c r="N27" s="212"/>
      <c r="O27" s="218"/>
      <c r="P27" s="205"/>
      <c r="Q27" s="211"/>
      <c r="R27" s="212"/>
    </row>
    <row r="28" spans="1:18" ht="18" customHeight="1" thickBot="1" x14ac:dyDescent="0.25">
      <c r="A28" s="36"/>
      <c r="B28" s="159"/>
      <c r="C28" s="49" t="s">
        <v>50</v>
      </c>
      <c r="D28" s="49">
        <v>15</v>
      </c>
      <c r="E28" s="235"/>
      <c r="F28" s="242"/>
      <c r="G28" s="243"/>
      <c r="H28" s="243"/>
      <c r="I28" s="244"/>
      <c r="J28" s="124"/>
      <c r="K28" s="125"/>
      <c r="L28" s="232"/>
      <c r="M28" s="217"/>
      <c r="N28" s="214"/>
      <c r="O28" s="219"/>
      <c r="P28" s="208"/>
      <c r="Q28" s="213"/>
      <c r="R28" s="214"/>
    </row>
    <row r="29" spans="1:18" ht="18" customHeight="1" x14ac:dyDescent="0.2">
      <c r="A29" s="36"/>
      <c r="B29" s="152" t="s">
        <v>69</v>
      </c>
      <c r="C29" s="51" t="s">
        <v>51</v>
      </c>
      <c r="D29" s="51">
        <v>16</v>
      </c>
      <c r="E29" s="233" t="s">
        <v>130</v>
      </c>
      <c r="F29" s="105" t="s">
        <v>134</v>
      </c>
      <c r="G29" s="106"/>
      <c r="H29" s="106"/>
      <c r="I29" s="107"/>
      <c r="J29" s="120" t="s">
        <v>136</v>
      </c>
      <c r="K29" s="121"/>
      <c r="L29" s="200" t="s">
        <v>137</v>
      </c>
      <c r="M29" s="215"/>
      <c r="N29" s="210"/>
      <c r="O29" s="209" t="s">
        <v>134</v>
      </c>
      <c r="P29" s="202"/>
      <c r="Q29" s="209" t="s">
        <v>138</v>
      </c>
      <c r="R29" s="202"/>
    </row>
    <row r="30" spans="1:18" ht="18" customHeight="1" x14ac:dyDescent="0.2">
      <c r="A30" s="36"/>
      <c r="B30" s="153"/>
      <c r="C30" s="30" t="s">
        <v>45</v>
      </c>
      <c r="D30" s="30">
        <v>17</v>
      </c>
      <c r="E30" s="234"/>
      <c r="F30" s="108"/>
      <c r="G30" s="109"/>
      <c r="H30" s="109"/>
      <c r="I30" s="110"/>
      <c r="J30" s="122"/>
      <c r="K30" s="123"/>
      <c r="L30" s="231"/>
      <c r="M30" s="216"/>
      <c r="N30" s="212"/>
      <c r="O30" s="218"/>
      <c r="P30" s="205"/>
      <c r="Q30" s="218"/>
      <c r="R30" s="205"/>
    </row>
    <row r="31" spans="1:18" ht="18" customHeight="1" x14ac:dyDescent="0.2">
      <c r="A31" s="36"/>
      <c r="B31" s="153"/>
      <c r="C31" s="30" t="s">
        <v>46</v>
      </c>
      <c r="D31" s="30">
        <v>18</v>
      </c>
      <c r="E31" s="234"/>
      <c r="F31" s="108"/>
      <c r="G31" s="109"/>
      <c r="H31" s="109"/>
      <c r="I31" s="110"/>
      <c r="J31" s="122"/>
      <c r="K31" s="123"/>
      <c r="L31" s="231"/>
      <c r="M31" s="216"/>
      <c r="N31" s="212"/>
      <c r="O31" s="218"/>
      <c r="P31" s="205"/>
      <c r="Q31" s="218"/>
      <c r="R31" s="205"/>
    </row>
    <row r="32" spans="1:18" ht="18" customHeight="1" x14ac:dyDescent="0.2">
      <c r="A32" s="36"/>
      <c r="B32" s="153"/>
      <c r="C32" s="30" t="s">
        <v>47</v>
      </c>
      <c r="D32" s="30">
        <v>19</v>
      </c>
      <c r="E32" s="234"/>
      <c r="F32" s="108"/>
      <c r="G32" s="109"/>
      <c r="H32" s="109"/>
      <c r="I32" s="110"/>
      <c r="J32" s="122"/>
      <c r="K32" s="123"/>
      <c r="L32" s="231"/>
      <c r="M32" s="216"/>
      <c r="N32" s="212"/>
      <c r="O32" s="218"/>
      <c r="P32" s="205"/>
      <c r="Q32" s="218"/>
      <c r="R32" s="205"/>
    </row>
    <row r="33" spans="1:18" ht="18" customHeight="1" x14ac:dyDescent="0.2">
      <c r="A33" s="36"/>
      <c r="B33" s="153"/>
      <c r="C33" s="30" t="s">
        <v>48</v>
      </c>
      <c r="D33" s="30">
        <v>20</v>
      </c>
      <c r="E33" s="234"/>
      <c r="F33" s="108"/>
      <c r="G33" s="109"/>
      <c r="H33" s="109"/>
      <c r="I33" s="110"/>
      <c r="J33" s="122"/>
      <c r="K33" s="123"/>
      <c r="L33" s="231"/>
      <c r="M33" s="216"/>
      <c r="N33" s="212"/>
      <c r="O33" s="218"/>
      <c r="P33" s="205"/>
      <c r="Q33" s="218"/>
      <c r="R33" s="205"/>
    </row>
    <row r="34" spans="1:18" ht="18" customHeight="1" x14ac:dyDescent="0.2">
      <c r="A34" s="36"/>
      <c r="B34" s="153"/>
      <c r="C34" s="30" t="s">
        <v>49</v>
      </c>
      <c r="D34" s="30">
        <v>21</v>
      </c>
      <c r="E34" s="234"/>
      <c r="F34" s="108"/>
      <c r="G34" s="109"/>
      <c r="H34" s="109"/>
      <c r="I34" s="110"/>
      <c r="J34" s="122"/>
      <c r="K34" s="123"/>
      <c r="L34" s="231"/>
      <c r="M34" s="216"/>
      <c r="N34" s="212"/>
      <c r="O34" s="218"/>
      <c r="P34" s="205"/>
      <c r="Q34" s="218"/>
      <c r="R34" s="205"/>
    </row>
    <row r="35" spans="1:18" ht="18" customHeight="1" thickBot="1" x14ac:dyDescent="0.25">
      <c r="A35" s="36"/>
      <c r="B35" s="154"/>
      <c r="C35" s="49" t="s">
        <v>50</v>
      </c>
      <c r="D35" s="49">
        <v>22</v>
      </c>
      <c r="E35" s="235"/>
      <c r="F35" s="111"/>
      <c r="G35" s="112"/>
      <c r="H35" s="112"/>
      <c r="I35" s="113"/>
      <c r="J35" s="124"/>
      <c r="K35" s="125"/>
      <c r="L35" s="232"/>
      <c r="M35" s="217"/>
      <c r="N35" s="214"/>
      <c r="O35" s="219"/>
      <c r="P35" s="208"/>
      <c r="Q35" s="219"/>
      <c r="R35" s="208"/>
    </row>
    <row r="36" spans="1:18" ht="18" customHeight="1" x14ac:dyDescent="0.2">
      <c r="A36" s="36"/>
      <c r="B36" s="157" t="s">
        <v>73</v>
      </c>
      <c r="C36" s="51" t="s">
        <v>51</v>
      </c>
      <c r="D36" s="51">
        <v>23</v>
      </c>
      <c r="E36" s="233" t="s">
        <v>130</v>
      </c>
      <c r="F36" s="105" t="s">
        <v>139</v>
      </c>
      <c r="G36" s="106"/>
      <c r="H36" s="106"/>
      <c r="I36" s="107"/>
      <c r="J36" s="120" t="s">
        <v>136</v>
      </c>
      <c r="K36" s="121"/>
      <c r="L36" s="215" t="s">
        <v>140</v>
      </c>
      <c r="M36" s="215"/>
      <c r="N36" s="210"/>
      <c r="O36" s="209" t="s">
        <v>141</v>
      </c>
      <c r="P36" s="202"/>
      <c r="Q36" s="209" t="s">
        <v>142</v>
      </c>
      <c r="R36" s="202"/>
    </row>
    <row r="37" spans="1:18" ht="18" customHeight="1" x14ac:dyDescent="0.2">
      <c r="A37" s="36"/>
      <c r="B37" s="158"/>
      <c r="C37" s="30" t="s">
        <v>45</v>
      </c>
      <c r="D37" s="30">
        <v>24</v>
      </c>
      <c r="E37" s="234"/>
      <c r="F37" s="108"/>
      <c r="G37" s="109"/>
      <c r="H37" s="109"/>
      <c r="I37" s="110"/>
      <c r="J37" s="122"/>
      <c r="K37" s="123"/>
      <c r="L37" s="216"/>
      <c r="M37" s="216"/>
      <c r="N37" s="212"/>
      <c r="O37" s="218"/>
      <c r="P37" s="205"/>
      <c r="Q37" s="218"/>
      <c r="R37" s="205"/>
    </row>
    <row r="38" spans="1:18" ht="18" customHeight="1" x14ac:dyDescent="0.2">
      <c r="A38" s="36"/>
      <c r="B38" s="158"/>
      <c r="C38" s="30" t="s">
        <v>46</v>
      </c>
      <c r="D38" s="30">
        <v>25</v>
      </c>
      <c r="E38" s="234"/>
      <c r="F38" s="108"/>
      <c r="G38" s="109"/>
      <c r="H38" s="109"/>
      <c r="I38" s="110"/>
      <c r="J38" s="122"/>
      <c r="K38" s="123"/>
      <c r="L38" s="216"/>
      <c r="M38" s="216"/>
      <c r="N38" s="212"/>
      <c r="O38" s="218"/>
      <c r="P38" s="205"/>
      <c r="Q38" s="218"/>
      <c r="R38" s="205"/>
    </row>
    <row r="39" spans="1:18" ht="18" customHeight="1" x14ac:dyDescent="0.2">
      <c r="A39" s="36"/>
      <c r="B39" s="158"/>
      <c r="C39" s="30" t="s">
        <v>47</v>
      </c>
      <c r="D39" s="30">
        <v>26</v>
      </c>
      <c r="E39" s="234"/>
      <c r="F39" s="108"/>
      <c r="G39" s="109"/>
      <c r="H39" s="109"/>
      <c r="I39" s="110"/>
      <c r="J39" s="122"/>
      <c r="K39" s="123"/>
      <c r="L39" s="216"/>
      <c r="M39" s="216"/>
      <c r="N39" s="212"/>
      <c r="O39" s="218"/>
      <c r="P39" s="205"/>
      <c r="Q39" s="218"/>
      <c r="R39" s="205"/>
    </row>
    <row r="40" spans="1:18" ht="18" customHeight="1" x14ac:dyDescent="0.2">
      <c r="A40" s="36"/>
      <c r="B40" s="158"/>
      <c r="C40" s="30" t="s">
        <v>48</v>
      </c>
      <c r="D40" s="30">
        <v>27</v>
      </c>
      <c r="E40" s="234"/>
      <c r="F40" s="108"/>
      <c r="G40" s="109"/>
      <c r="H40" s="109"/>
      <c r="I40" s="110"/>
      <c r="J40" s="122"/>
      <c r="K40" s="123"/>
      <c r="L40" s="216"/>
      <c r="M40" s="216"/>
      <c r="N40" s="212"/>
      <c r="O40" s="218"/>
      <c r="P40" s="205"/>
      <c r="Q40" s="218"/>
      <c r="R40" s="205"/>
    </row>
    <row r="41" spans="1:18" ht="18" customHeight="1" x14ac:dyDescent="0.2">
      <c r="A41" s="36"/>
      <c r="B41" s="158"/>
      <c r="C41" s="30" t="s">
        <v>49</v>
      </c>
      <c r="D41" s="30">
        <v>28</v>
      </c>
      <c r="E41" s="234"/>
      <c r="F41" s="108"/>
      <c r="G41" s="109"/>
      <c r="H41" s="109"/>
      <c r="I41" s="110"/>
      <c r="J41" s="122"/>
      <c r="K41" s="123"/>
      <c r="L41" s="216"/>
      <c r="M41" s="216"/>
      <c r="N41" s="212"/>
      <c r="O41" s="218"/>
      <c r="P41" s="205"/>
      <c r="Q41" s="218"/>
      <c r="R41" s="205"/>
    </row>
    <row r="42" spans="1:18" ht="18" customHeight="1" thickBot="1" x14ac:dyDescent="0.25">
      <c r="A42" s="36"/>
      <c r="B42" s="159"/>
      <c r="C42" s="49" t="s">
        <v>50</v>
      </c>
      <c r="D42" s="49">
        <v>29</v>
      </c>
      <c r="E42" s="235"/>
      <c r="F42" s="111"/>
      <c r="G42" s="112"/>
      <c r="H42" s="112"/>
      <c r="I42" s="113"/>
      <c r="J42" s="124"/>
      <c r="K42" s="125"/>
      <c r="L42" s="216"/>
      <c r="M42" s="216"/>
      <c r="N42" s="212"/>
      <c r="O42" s="218"/>
      <c r="P42" s="205"/>
      <c r="Q42" s="218"/>
      <c r="R42" s="205"/>
    </row>
    <row r="43" spans="1:18" ht="18" customHeight="1" x14ac:dyDescent="0.2">
      <c r="A43" s="36"/>
      <c r="B43" s="36"/>
      <c r="C43" s="47" t="s">
        <v>51</v>
      </c>
      <c r="D43" s="47">
        <v>30</v>
      </c>
      <c r="E43" s="223"/>
      <c r="F43" s="105" t="s">
        <v>143</v>
      </c>
      <c r="G43" s="106"/>
      <c r="H43" s="106"/>
      <c r="I43" s="107"/>
      <c r="J43" s="120" t="s">
        <v>136</v>
      </c>
      <c r="K43" s="228"/>
      <c r="L43" s="216"/>
      <c r="M43" s="216"/>
      <c r="N43" s="212"/>
      <c r="O43" s="218"/>
      <c r="P43" s="205"/>
      <c r="Q43" s="218"/>
      <c r="R43" s="205"/>
    </row>
    <row r="44" spans="1:18" ht="18" customHeight="1" x14ac:dyDescent="0.2">
      <c r="A44" s="36"/>
      <c r="B44" s="36"/>
      <c r="C44" s="30" t="s">
        <v>45</v>
      </c>
      <c r="D44" s="30">
        <v>31</v>
      </c>
      <c r="E44" s="224"/>
      <c r="F44" s="225"/>
      <c r="G44" s="226"/>
      <c r="H44" s="226"/>
      <c r="I44" s="227"/>
      <c r="J44" s="229"/>
      <c r="K44" s="230"/>
      <c r="L44" s="217"/>
      <c r="M44" s="217"/>
      <c r="N44" s="214"/>
      <c r="O44" s="219"/>
      <c r="P44" s="208"/>
      <c r="Q44" s="219"/>
      <c r="R44" s="208"/>
    </row>
  </sheetData>
  <sheetProtection formatCells="0" formatColumns="0" formatRows="0"/>
  <mergeCells count="49">
    <mergeCell ref="F11:J11"/>
    <mergeCell ref="D3:D11"/>
    <mergeCell ref="M3:R3"/>
    <mergeCell ref="F13:I13"/>
    <mergeCell ref="L22:N28"/>
    <mergeCell ref="L14:N21"/>
    <mergeCell ref="O22:P28"/>
    <mergeCell ref="O14:P21"/>
    <mergeCell ref="Q22:R28"/>
    <mergeCell ref="Q14:R21"/>
    <mergeCell ref="M8:R8"/>
    <mergeCell ref="M9:R9"/>
    <mergeCell ref="M10:R10"/>
    <mergeCell ref="L13:N13"/>
    <mergeCell ref="O13:P13"/>
    <mergeCell ref="Q13:R13"/>
    <mergeCell ref="K2:K3"/>
    <mergeCell ref="M4:R4"/>
    <mergeCell ref="M5:R5"/>
    <mergeCell ref="M6:R6"/>
    <mergeCell ref="M7:R7"/>
    <mergeCell ref="B29:B35"/>
    <mergeCell ref="B36:B42"/>
    <mergeCell ref="J13:K13"/>
    <mergeCell ref="F14:I21"/>
    <mergeCell ref="E14:E21"/>
    <mergeCell ref="J14:K21"/>
    <mergeCell ref="E22:E28"/>
    <mergeCell ref="E29:E35"/>
    <mergeCell ref="E36:E42"/>
    <mergeCell ref="F29:I35"/>
    <mergeCell ref="F22:I28"/>
    <mergeCell ref="J22:K28"/>
    <mergeCell ref="J29:K35"/>
    <mergeCell ref="A2:B13"/>
    <mergeCell ref="B14:B21"/>
    <mergeCell ref="B22:B28"/>
    <mergeCell ref="L12:R12"/>
    <mergeCell ref="E43:E44"/>
    <mergeCell ref="F43:I44"/>
    <mergeCell ref="J43:K44"/>
    <mergeCell ref="F36:I42"/>
    <mergeCell ref="J36:K42"/>
    <mergeCell ref="L36:N44"/>
    <mergeCell ref="L29:N35"/>
    <mergeCell ref="O36:P44"/>
    <mergeCell ref="O29:P35"/>
    <mergeCell ref="Q36:R44"/>
    <mergeCell ref="Q29:R35"/>
  </mergeCells>
  <conditionalFormatting sqref="C14:D44">
    <cfRule type="cellIs" dxfId="21" priority="9" operator="equal">
      <formula>$K$4</formula>
    </cfRule>
    <cfRule type="cellIs" dxfId="20" priority="10" operator="equal">
      <formula>$J$4</formula>
    </cfRule>
  </conditionalFormatting>
  <conditionalFormatting sqref="C14:F14 C15:D21 C22:E22 C23:D28 C29:E29 C30:D35 C36:E36 C37:D42 C43:E43 C44:D44 J14 J22 J29">
    <cfRule type="expression" dxfId="19" priority="11">
      <formula>#REF!="S"</formula>
    </cfRule>
  </conditionalFormatting>
  <conditionalFormatting sqref="C14:F14 J14 C15:D21 C22:E22 J22 C23:D28 C29:E29 J29 C30:D35 C36:E36 C37:D42 C43:E43 C44:D44">
    <cfRule type="expression" dxfId="18" priority="5">
      <formula>#REF!="D"</formula>
    </cfRule>
  </conditionalFormatting>
  <conditionalFormatting sqref="D14:D44">
    <cfRule type="expression" dxfId="17" priority="7">
      <formula>$C14=$K$4</formula>
    </cfRule>
    <cfRule type="expression" dxfId="16" priority="8">
      <formula>$C14=$J$4</formula>
    </cfRule>
  </conditionalFormatting>
  <conditionalFormatting sqref="E5:J5">
    <cfRule type="expression" dxfId="15" priority="15" stopIfTrue="1">
      <formula>DAY(E5)&gt;8</formula>
    </cfRule>
  </conditionalFormatting>
  <conditionalFormatting sqref="E5:K10">
    <cfRule type="cellIs" dxfId="14" priority="16" operator="equal">
      <formula>$D$2</formula>
    </cfRule>
  </conditionalFormatting>
  <conditionalFormatting sqref="E9:K10 E11 K11">
    <cfRule type="expression" dxfId="13" priority="14" stopIfTrue="1">
      <formula>AND(DAY(E9)&gt;=1,DAY(E9)&lt;=15)</formula>
    </cfRule>
  </conditionalFormatting>
  <conditionalFormatting sqref="F22 F29 F36 J36 F43 J43">
    <cfRule type="expression" dxfId="12" priority="48">
      <formula>#REF!="D"</formula>
    </cfRule>
    <cfRule type="expression" dxfId="11" priority="49">
      <formula>#REF!="S"</formula>
    </cfRule>
  </conditionalFormatting>
  <printOptions horizontalCentered="1" verticalCentered="1"/>
  <pageMargins left="0.11811023622047244" right="0.11811023622047244" top="0.39370078740157483" bottom="0.39370078740157483" header="0" footer="0"/>
  <pageSetup paperSize="9" scale="52" orientation="landscape" r:id="rId1"/>
  <ignoredErrors>
    <ignoredError sqref="F3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00A48E"/>
    <pageSetUpPr fitToPage="1"/>
  </sheetPr>
  <dimension ref="A1:R46"/>
  <sheetViews>
    <sheetView showGridLines="0" zoomScale="73" zoomScaleNormal="90" zoomScalePageLayoutView="84" workbookViewId="0">
      <pane xSplit="5" ySplit="13" topLeftCell="F14" activePane="bottomRight" state="frozen"/>
      <selection pane="topRight" activeCell="D1" sqref="D1"/>
      <selection pane="bottomLeft" activeCell="A13" sqref="A13"/>
      <selection pane="bottomRight" activeCell="T17" sqref="T17"/>
    </sheetView>
  </sheetViews>
  <sheetFormatPr defaultColWidth="8.7109375" defaultRowHeight="16.5" customHeight="1" x14ac:dyDescent="0.2"/>
  <cols>
    <col min="1" max="2" width="3.140625" style="3" customWidth="1"/>
    <col min="3" max="3" width="5.28515625" style="3" customWidth="1"/>
    <col min="4" max="4" width="6.5703125" style="3" customWidth="1"/>
    <col min="5" max="5" width="13.7109375" style="3" customWidth="1"/>
    <col min="6" max="8" width="17.7109375" style="3" customWidth="1"/>
    <col min="9" max="9" width="19.140625" style="3" customWidth="1"/>
    <col min="10" max="10" width="17.7109375" style="3" customWidth="1"/>
    <col min="11" max="11" width="33.7109375" style="3" customWidth="1"/>
    <col min="12" max="12" width="2.42578125" style="3" customWidth="1"/>
    <col min="13" max="18" width="17" style="3" customWidth="1"/>
    <col min="19" max="16384" width="8.7109375" style="3"/>
  </cols>
  <sheetData>
    <row r="1" spans="1:18" ht="16.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1.25" customHeight="1" x14ac:dyDescent="0.2">
      <c r="A2" s="155" t="s">
        <v>39</v>
      </c>
      <c r="B2" s="156"/>
      <c r="D2" s="46">
        <f ca="1">TODAY()</f>
        <v>45751</v>
      </c>
      <c r="E2" s="4"/>
      <c r="F2" s="5"/>
      <c r="G2" s="4"/>
      <c r="H2" s="4"/>
      <c r="K2" s="198">
        <f>AnoCalendário</f>
        <v>2025</v>
      </c>
    </row>
    <row r="3" spans="1:18" ht="18" customHeight="1" x14ac:dyDescent="0.2">
      <c r="A3" s="156"/>
      <c r="B3" s="156"/>
      <c r="D3" s="165" t="s">
        <v>144</v>
      </c>
      <c r="E3" s="25" t="s">
        <v>84</v>
      </c>
      <c r="F3" s="26">
        <f>JAN!F3</f>
        <v>45658</v>
      </c>
      <c r="G3" s="6"/>
      <c r="J3" s="4"/>
      <c r="K3" s="245"/>
      <c r="M3" s="141" t="s">
        <v>44</v>
      </c>
      <c r="N3" s="142"/>
      <c r="O3" s="142"/>
      <c r="P3" s="142"/>
      <c r="Q3" s="142"/>
      <c r="R3" s="143"/>
    </row>
    <row r="4" spans="1:18" ht="21" customHeight="1" x14ac:dyDescent="0.2">
      <c r="A4" s="156"/>
      <c r="B4" s="156"/>
      <c r="D4" s="165"/>
      <c r="E4" s="61" t="s">
        <v>45</v>
      </c>
      <c r="F4" s="61" t="s">
        <v>46</v>
      </c>
      <c r="G4" s="61" t="s">
        <v>47</v>
      </c>
      <c r="H4" s="61" t="s">
        <v>48</v>
      </c>
      <c r="I4" s="61" t="s">
        <v>49</v>
      </c>
      <c r="J4" s="61" t="s">
        <v>50</v>
      </c>
      <c r="K4" s="61" t="s">
        <v>51</v>
      </c>
      <c r="M4" s="144" t="s">
        <v>145</v>
      </c>
      <c r="N4" s="145"/>
      <c r="O4" s="145"/>
      <c r="P4" s="145"/>
      <c r="Q4" s="145"/>
      <c r="R4" s="146"/>
    </row>
    <row r="5" spans="1:18" ht="18" customHeight="1" x14ac:dyDescent="0.2">
      <c r="A5" s="156"/>
      <c r="B5" s="156"/>
      <c r="D5" s="165"/>
      <c r="E5" s="62">
        <f>IF(DAY(AbrSun1)=1,AbrSun1-6,AbrSun1+1)</f>
        <v>45747</v>
      </c>
      <c r="F5" s="73">
        <f>IF(DAY(AbrSun1)=1,AbrSun1-5,AbrSun1+2)</f>
        <v>45748</v>
      </c>
      <c r="G5" s="73">
        <f>IF(DAY(AbrSun1)=1,AbrSun1-4,AbrSun1+3)</f>
        <v>45749</v>
      </c>
      <c r="H5" s="73">
        <f>IF(DAY(AbrSun1)=1,AbrSun1-3,AbrSun1+4)</f>
        <v>45750</v>
      </c>
      <c r="I5" s="73">
        <f>IF(DAY(AbrSun1)=1,AbrSun1-2,AbrSun1+5)</f>
        <v>45751</v>
      </c>
      <c r="J5" s="62">
        <f>IF(DAY(AbrSun1)=1,AbrSun1-1,AbrSun1+6)</f>
        <v>45752</v>
      </c>
      <c r="K5" s="63">
        <f>IF(DAY(AbrSun1)=1,AbrSun1,AbrSun1+7)</f>
        <v>45753</v>
      </c>
      <c r="M5" s="144" t="s">
        <v>146</v>
      </c>
      <c r="N5" s="145"/>
      <c r="O5" s="145"/>
      <c r="P5" s="145"/>
      <c r="Q5" s="145"/>
      <c r="R5" s="146"/>
    </row>
    <row r="6" spans="1:18" ht="18" customHeight="1" x14ac:dyDescent="0.2">
      <c r="A6" s="156"/>
      <c r="B6" s="156"/>
      <c r="D6" s="165"/>
      <c r="E6" s="73">
        <f>IF(DAY(AbrSun1)=1,AbrSun1+1,AbrSun1+8)</f>
        <v>45754</v>
      </c>
      <c r="F6" s="73">
        <f>IF(DAY(AbrSun1)=1,AbrSun1+2,AbrSun1+9)</f>
        <v>45755</v>
      </c>
      <c r="G6" s="73">
        <f>IF(DAY(AbrSun1)=1,AbrSun1+3,AbrSun1+10)</f>
        <v>45756</v>
      </c>
      <c r="H6" s="73">
        <f>IF(DAY(AbrSun1)=1,AbrSun1+4,AbrSun1+11)</f>
        <v>45757</v>
      </c>
      <c r="I6" s="73">
        <f>IF(DAY(AbrSun1)=1,AbrSun1+5,AbrSun1+12)</f>
        <v>45758</v>
      </c>
      <c r="J6" s="62">
        <f>IF(DAY(AbrSun1)=1,AbrSun1+6,AbrSun1+13)</f>
        <v>45759</v>
      </c>
      <c r="K6" s="63">
        <f>IF(DAY(AbrSun1)=1,AbrSun1+7,AbrSun1+14)</f>
        <v>45760</v>
      </c>
      <c r="M6" s="144" t="s">
        <v>147</v>
      </c>
      <c r="N6" s="145"/>
      <c r="O6" s="145"/>
      <c r="P6" s="145"/>
      <c r="Q6" s="145"/>
      <c r="R6" s="146"/>
    </row>
    <row r="7" spans="1:18" ht="18" customHeight="1" x14ac:dyDescent="0.2">
      <c r="A7" s="156"/>
      <c r="B7" s="156"/>
      <c r="D7" s="165"/>
      <c r="E7" s="73">
        <f>IF(DAY(AbrSun1)=1,AbrSun1+8,AbrSun1+15)</f>
        <v>45761</v>
      </c>
      <c r="F7" s="73">
        <f>IF(DAY(AbrSun1)=1,AbrSun1+9,AbrSun1+16)</f>
        <v>45762</v>
      </c>
      <c r="G7" s="73">
        <f>IF(DAY(AbrSun1)=1,AbrSun1+10,AbrSun1+17)</f>
        <v>45763</v>
      </c>
      <c r="H7" s="73">
        <f>IF(DAY(AbrSun1)=1,AbrSun1+11,AbrSun1+18)</f>
        <v>45764</v>
      </c>
      <c r="I7" s="67">
        <f>IF(DAY(AbrSun1)=1,AbrSun1+12,AbrSun1+19)</f>
        <v>45765</v>
      </c>
      <c r="J7" s="62">
        <f>IF(DAY(AbrSun1)=1,AbrSun1+13,AbrSun1+20)</f>
        <v>45766</v>
      </c>
      <c r="K7" s="63">
        <f>IF(DAY(AbrSun1)=1,AbrSun1+14,AbrSun1+21)</f>
        <v>45767</v>
      </c>
      <c r="M7" s="144" t="s">
        <v>88</v>
      </c>
      <c r="N7" s="145"/>
      <c r="O7" s="145"/>
      <c r="P7" s="145"/>
      <c r="Q7" s="145"/>
      <c r="R7" s="146"/>
    </row>
    <row r="8" spans="1:18" ht="18" customHeight="1" x14ac:dyDescent="0.2">
      <c r="A8" s="156"/>
      <c r="B8" s="156"/>
      <c r="D8" s="165"/>
      <c r="E8" s="67">
        <f>IF(DAY(AbrSun1)=1,AbrSun1+15,AbrSun1+22)</f>
        <v>45768</v>
      </c>
      <c r="F8" s="73">
        <f>IF(DAY(AbrSun1)=1,AbrSun1+16,AbrSun1+23)</f>
        <v>45769</v>
      </c>
      <c r="G8" s="73">
        <f>IF(DAY(AbrSun1)=1,AbrSun1+17,AbrSun1+24)</f>
        <v>45770</v>
      </c>
      <c r="H8" s="73">
        <f>IF(DAY(AbrSun1)=1,AbrSun1+18,AbrSun1+25)</f>
        <v>45771</v>
      </c>
      <c r="I8" s="73">
        <f>IF(DAY(AbrSun1)=1,AbrSun1+19,AbrSun1+26)</f>
        <v>45772</v>
      </c>
      <c r="J8" s="62">
        <f>IF(DAY(AbrSun1)=1,AbrSun1+20,AbrSun1+27)</f>
        <v>45773</v>
      </c>
      <c r="K8" s="63">
        <f>IF(DAY(AbrSun1)=1,AbrSun1+21,AbrSun1+28)</f>
        <v>45774</v>
      </c>
      <c r="M8" s="144" t="s">
        <v>89</v>
      </c>
      <c r="N8" s="145"/>
      <c r="O8" s="145"/>
      <c r="P8" s="145"/>
      <c r="Q8" s="145"/>
      <c r="R8" s="146"/>
    </row>
    <row r="9" spans="1:18" ht="18.75" customHeight="1" x14ac:dyDescent="0.2">
      <c r="A9" s="156"/>
      <c r="B9" s="156"/>
      <c r="D9" s="165"/>
      <c r="E9" s="73">
        <f>IF(DAY(AbrSun1)=1,AbrSun1+22,AbrSun1+29)</f>
        <v>45775</v>
      </c>
      <c r="F9" s="73">
        <f>IF(DAY(AbrSun1)=1,AbrSun1+23,AbrSun1+30)</f>
        <v>45776</v>
      </c>
      <c r="G9" s="73">
        <f>IF(DAY(AbrSun1)=1,AbrSun1+24,AbrSun1+31)</f>
        <v>45777</v>
      </c>
      <c r="H9" s="73">
        <f>IF(DAY(AbrSun1)=1,AbrSun1+25,AbrSun1+32)</f>
        <v>45778</v>
      </c>
      <c r="I9" s="73">
        <f>IF(DAY(AbrSun1)=1,AbrSun1+26,AbrSun1+33)</f>
        <v>45779</v>
      </c>
      <c r="J9" s="62">
        <f>IF(DAY(AbrSun1)=1,AbrSun1+27,AbrSun1+34)</f>
        <v>45780</v>
      </c>
      <c r="K9" s="62">
        <f>IF(DAY(AbrSun1)=1,AbrSun1+28,AbrSun1+35)</f>
        <v>45781</v>
      </c>
      <c r="M9" s="144" t="s">
        <v>90</v>
      </c>
      <c r="N9" s="145"/>
      <c r="O9" s="145"/>
      <c r="P9" s="145"/>
      <c r="Q9" s="145"/>
      <c r="R9" s="146"/>
    </row>
    <row r="10" spans="1:18" ht="18" customHeight="1" x14ac:dyDescent="0.2">
      <c r="A10" s="156"/>
      <c r="B10" s="156"/>
      <c r="D10" s="165"/>
      <c r="E10" s="62">
        <f>IF(DAY(AbrSun1)=1,AbrSun1+29,AbrSun1+36)</f>
        <v>45782</v>
      </c>
      <c r="F10" s="62">
        <f>IF(DAY(AbrSun1)=1,AbrSun1+30,AbrSun1+37)</f>
        <v>45783</v>
      </c>
      <c r="G10" s="62">
        <f>IF(DAY(AbrSun1)=1,AbrSun1+31,AbrSun1+38)</f>
        <v>45784</v>
      </c>
      <c r="H10" s="62">
        <f>IF(DAY(AbrSun1)=1,AbrSun1+32,AbrSun1+39)</f>
        <v>45785</v>
      </c>
      <c r="I10" s="62">
        <f>IF(DAY(AbrSun1)=1,AbrSun1+33,AbrSun1+40)</f>
        <v>45786</v>
      </c>
      <c r="J10" s="62">
        <f>IF(DAY(AbrSun1)=1,AbrSun1+34,AbrSun1+41)</f>
        <v>45787</v>
      </c>
      <c r="K10" s="62">
        <f>IF(DAY(AbrSun1)=1,AbrSun1+35,AbrSun1+42)</f>
        <v>45788</v>
      </c>
      <c r="M10" s="144" t="s">
        <v>91</v>
      </c>
      <c r="N10" s="145"/>
      <c r="O10" s="145"/>
      <c r="P10" s="145"/>
      <c r="Q10" s="145"/>
      <c r="R10" s="146"/>
    </row>
    <row r="11" spans="1:18" ht="18" customHeight="1" x14ac:dyDescent="0.2">
      <c r="A11" s="156"/>
      <c r="B11" s="156"/>
      <c r="D11" s="165"/>
      <c r="E11" s="35"/>
      <c r="F11" s="164"/>
      <c r="G11" s="164"/>
      <c r="H11" s="164"/>
      <c r="I11" s="164"/>
      <c r="J11" s="164"/>
      <c r="K11" s="35"/>
    </row>
    <row r="12" spans="1:18" ht="18" customHeight="1" x14ac:dyDescent="0.2">
      <c r="A12" s="156"/>
      <c r="B12" s="156"/>
      <c r="C12" s="75" t="str">
        <f>JAN!C12</f>
        <v>ESCOLA &lt;&lt;digite aqui o nome da escola&gt;&gt;</v>
      </c>
      <c r="D12" s="76"/>
      <c r="E12" s="76"/>
      <c r="F12" s="76"/>
      <c r="G12" s="76"/>
      <c r="H12" s="76"/>
      <c r="I12" s="76"/>
      <c r="J12" s="76"/>
      <c r="K12" s="76"/>
      <c r="L12" s="220" t="s">
        <v>92</v>
      </c>
      <c r="M12" s="221"/>
      <c r="N12" s="221"/>
      <c r="O12" s="221"/>
      <c r="P12" s="221"/>
      <c r="Q12" s="221"/>
      <c r="R12" s="222"/>
    </row>
    <row r="13" spans="1:18" ht="18" customHeight="1" thickBot="1" x14ac:dyDescent="0.3">
      <c r="A13" s="156"/>
      <c r="B13" s="156"/>
      <c r="C13" s="58" t="s">
        <v>61</v>
      </c>
      <c r="D13" s="58" t="s">
        <v>62</v>
      </c>
      <c r="E13" s="58" t="s">
        <v>93</v>
      </c>
      <c r="F13" s="163" t="s">
        <v>94</v>
      </c>
      <c r="G13" s="163"/>
      <c r="H13" s="163"/>
      <c r="I13" s="163"/>
      <c r="J13" s="150" t="s">
        <v>65</v>
      </c>
      <c r="K13" s="151"/>
      <c r="L13" s="194" t="s">
        <v>95</v>
      </c>
      <c r="M13" s="195"/>
      <c r="N13" s="196"/>
      <c r="O13" s="194" t="s">
        <v>96</v>
      </c>
      <c r="P13" s="195"/>
      <c r="Q13" s="194" t="s">
        <v>97</v>
      </c>
      <c r="R13" s="196"/>
    </row>
    <row r="14" spans="1:18" ht="16.899999999999999" customHeight="1" x14ac:dyDescent="0.2">
      <c r="A14" s="65"/>
      <c r="B14" s="250" t="s">
        <v>66</v>
      </c>
      <c r="C14" s="48" t="s">
        <v>46</v>
      </c>
      <c r="D14" s="48">
        <v>1</v>
      </c>
      <c r="E14" s="233" t="s">
        <v>148</v>
      </c>
      <c r="F14" s="105" t="s">
        <v>143</v>
      </c>
      <c r="G14" s="106"/>
      <c r="H14" s="106"/>
      <c r="I14" s="107"/>
      <c r="J14" s="120" t="s">
        <v>136</v>
      </c>
      <c r="K14" s="121"/>
      <c r="L14" s="246" t="s">
        <v>149</v>
      </c>
      <c r="M14" s="215"/>
      <c r="N14" s="210"/>
      <c r="O14" s="209" t="s">
        <v>150</v>
      </c>
      <c r="P14" s="202"/>
      <c r="Q14" s="259" t="s">
        <v>151</v>
      </c>
      <c r="R14" s="210"/>
    </row>
    <row r="15" spans="1:18" ht="16.899999999999999" customHeight="1" x14ac:dyDescent="0.2">
      <c r="A15" s="65"/>
      <c r="B15" s="251"/>
      <c r="C15" s="30" t="s">
        <v>47</v>
      </c>
      <c r="D15" s="30">
        <v>2</v>
      </c>
      <c r="E15" s="234"/>
      <c r="F15" s="108"/>
      <c r="G15" s="109"/>
      <c r="H15" s="109"/>
      <c r="I15" s="110"/>
      <c r="J15" s="122"/>
      <c r="K15" s="123"/>
      <c r="L15" s="231"/>
      <c r="M15" s="216"/>
      <c r="N15" s="212"/>
      <c r="O15" s="218"/>
      <c r="P15" s="205"/>
      <c r="Q15" s="211"/>
      <c r="R15" s="212"/>
    </row>
    <row r="16" spans="1:18" ht="16.899999999999999" customHeight="1" x14ac:dyDescent="0.2">
      <c r="A16" s="65"/>
      <c r="B16" s="251"/>
      <c r="C16" s="30" t="s">
        <v>48</v>
      </c>
      <c r="D16" s="30">
        <v>3</v>
      </c>
      <c r="E16" s="234"/>
      <c r="F16" s="108"/>
      <c r="G16" s="109"/>
      <c r="H16" s="109"/>
      <c r="I16" s="110"/>
      <c r="J16" s="122"/>
      <c r="K16" s="123"/>
      <c r="L16" s="231"/>
      <c r="M16" s="216"/>
      <c r="N16" s="212"/>
      <c r="O16" s="218"/>
      <c r="P16" s="205"/>
      <c r="Q16" s="211"/>
      <c r="R16" s="212"/>
    </row>
    <row r="17" spans="1:18" ht="16.899999999999999" customHeight="1" x14ac:dyDescent="0.2">
      <c r="A17" s="65"/>
      <c r="B17" s="251"/>
      <c r="C17" s="30" t="s">
        <v>49</v>
      </c>
      <c r="D17" s="30">
        <v>4</v>
      </c>
      <c r="E17" s="234"/>
      <c r="F17" s="108"/>
      <c r="G17" s="109"/>
      <c r="H17" s="109"/>
      <c r="I17" s="110"/>
      <c r="J17" s="122"/>
      <c r="K17" s="123"/>
      <c r="L17" s="231"/>
      <c r="M17" s="216"/>
      <c r="N17" s="212"/>
      <c r="O17" s="218"/>
      <c r="P17" s="205"/>
      <c r="Q17" s="211"/>
      <c r="R17" s="212"/>
    </row>
    <row r="18" spans="1:18" ht="16.899999999999999" customHeight="1" thickBot="1" x14ac:dyDescent="0.25">
      <c r="A18" s="65"/>
      <c r="B18" s="252"/>
      <c r="C18" s="49" t="s">
        <v>50</v>
      </c>
      <c r="D18" s="53">
        <v>5</v>
      </c>
      <c r="E18" s="235"/>
      <c r="F18" s="111"/>
      <c r="G18" s="112"/>
      <c r="H18" s="112"/>
      <c r="I18" s="113"/>
      <c r="J18" s="124"/>
      <c r="K18" s="125"/>
      <c r="L18" s="232"/>
      <c r="M18" s="217"/>
      <c r="N18" s="214"/>
      <c r="O18" s="219"/>
      <c r="P18" s="208"/>
      <c r="Q18" s="213"/>
      <c r="R18" s="214"/>
    </row>
    <row r="19" spans="1:18" ht="16.899999999999999" customHeight="1" x14ac:dyDescent="0.2">
      <c r="A19" s="65"/>
      <c r="B19" s="247" t="s">
        <v>68</v>
      </c>
      <c r="C19" s="51" t="s">
        <v>51</v>
      </c>
      <c r="D19" s="51">
        <v>6</v>
      </c>
      <c r="E19" s="233" t="s">
        <v>152</v>
      </c>
      <c r="F19" s="105" t="s">
        <v>153</v>
      </c>
      <c r="G19" s="106"/>
      <c r="H19" s="106"/>
      <c r="I19" s="107"/>
      <c r="J19" s="120" t="s">
        <v>136</v>
      </c>
      <c r="K19" s="121"/>
      <c r="L19" s="200"/>
      <c r="M19" s="201"/>
      <c r="N19" s="202"/>
      <c r="O19" s="209" t="s">
        <v>150</v>
      </c>
      <c r="P19" s="202"/>
      <c r="Q19" s="209"/>
      <c r="R19" s="202"/>
    </row>
    <row r="20" spans="1:18" ht="16.899999999999999" customHeight="1" x14ac:dyDescent="0.2">
      <c r="A20" s="65"/>
      <c r="B20" s="248"/>
      <c r="C20" s="30" t="s">
        <v>45</v>
      </c>
      <c r="D20" s="30">
        <v>7</v>
      </c>
      <c r="E20" s="234"/>
      <c r="F20" s="108"/>
      <c r="G20" s="109"/>
      <c r="H20" s="109"/>
      <c r="I20" s="110"/>
      <c r="J20" s="122"/>
      <c r="K20" s="123"/>
      <c r="L20" s="203"/>
      <c r="M20" s="204"/>
      <c r="N20" s="205"/>
      <c r="O20" s="218"/>
      <c r="P20" s="205"/>
      <c r="Q20" s="218"/>
      <c r="R20" s="205"/>
    </row>
    <row r="21" spans="1:18" ht="16.899999999999999" customHeight="1" x14ac:dyDescent="0.2">
      <c r="A21" s="65"/>
      <c r="B21" s="248"/>
      <c r="C21" s="30" t="s">
        <v>46</v>
      </c>
      <c r="D21" s="30">
        <v>8</v>
      </c>
      <c r="E21" s="234"/>
      <c r="F21" s="108"/>
      <c r="G21" s="109"/>
      <c r="H21" s="109"/>
      <c r="I21" s="110"/>
      <c r="J21" s="122"/>
      <c r="K21" s="123"/>
      <c r="L21" s="203"/>
      <c r="M21" s="204"/>
      <c r="N21" s="205"/>
      <c r="O21" s="218"/>
      <c r="P21" s="205"/>
      <c r="Q21" s="218"/>
      <c r="R21" s="205"/>
    </row>
    <row r="22" spans="1:18" ht="16.899999999999999" customHeight="1" x14ac:dyDescent="0.2">
      <c r="A22" s="65"/>
      <c r="B22" s="248"/>
      <c r="C22" s="30" t="s">
        <v>47</v>
      </c>
      <c r="D22" s="30">
        <v>9</v>
      </c>
      <c r="E22" s="234"/>
      <c r="F22" s="108"/>
      <c r="G22" s="109"/>
      <c r="H22" s="109"/>
      <c r="I22" s="110"/>
      <c r="J22" s="122"/>
      <c r="K22" s="123"/>
      <c r="L22" s="203"/>
      <c r="M22" s="204"/>
      <c r="N22" s="205"/>
      <c r="O22" s="218"/>
      <c r="P22" s="205"/>
      <c r="Q22" s="218"/>
      <c r="R22" s="205"/>
    </row>
    <row r="23" spans="1:18" ht="16.899999999999999" customHeight="1" x14ac:dyDescent="0.2">
      <c r="A23" s="65"/>
      <c r="B23" s="248"/>
      <c r="C23" s="30" t="s">
        <v>48</v>
      </c>
      <c r="D23" s="30">
        <v>10</v>
      </c>
      <c r="E23" s="234"/>
      <c r="F23" s="108"/>
      <c r="G23" s="109"/>
      <c r="H23" s="109"/>
      <c r="I23" s="110"/>
      <c r="J23" s="122"/>
      <c r="K23" s="123"/>
      <c r="L23" s="203"/>
      <c r="M23" s="204"/>
      <c r="N23" s="205"/>
      <c r="O23" s="218"/>
      <c r="P23" s="205"/>
      <c r="Q23" s="218"/>
      <c r="R23" s="205"/>
    </row>
    <row r="24" spans="1:18" ht="16.899999999999999" customHeight="1" x14ac:dyDescent="0.2">
      <c r="A24" s="65"/>
      <c r="B24" s="248"/>
      <c r="C24" s="30" t="s">
        <v>49</v>
      </c>
      <c r="D24" s="30">
        <v>11</v>
      </c>
      <c r="E24" s="234"/>
      <c r="F24" s="108"/>
      <c r="G24" s="109"/>
      <c r="H24" s="109"/>
      <c r="I24" s="110"/>
      <c r="J24" s="122"/>
      <c r="K24" s="123"/>
      <c r="L24" s="203"/>
      <c r="M24" s="204"/>
      <c r="N24" s="205"/>
      <c r="O24" s="218"/>
      <c r="P24" s="205"/>
      <c r="Q24" s="218"/>
      <c r="R24" s="205"/>
    </row>
    <row r="25" spans="1:18" ht="16.899999999999999" customHeight="1" thickBot="1" x14ac:dyDescent="0.25">
      <c r="A25" s="65"/>
      <c r="B25" s="249"/>
      <c r="C25" s="49" t="s">
        <v>50</v>
      </c>
      <c r="D25" s="49">
        <v>12</v>
      </c>
      <c r="E25" s="235"/>
      <c r="F25" s="111"/>
      <c r="G25" s="112"/>
      <c r="H25" s="112"/>
      <c r="I25" s="113"/>
      <c r="J25" s="124"/>
      <c r="K25" s="125"/>
      <c r="L25" s="206"/>
      <c r="M25" s="207"/>
      <c r="N25" s="208"/>
      <c r="O25" s="219"/>
      <c r="P25" s="208"/>
      <c r="Q25" s="219"/>
      <c r="R25" s="208"/>
    </row>
    <row r="26" spans="1:18" ht="16.899999999999999" customHeight="1" x14ac:dyDescent="0.2">
      <c r="A26" s="65"/>
      <c r="B26" s="250" t="s">
        <v>69</v>
      </c>
      <c r="C26" s="51" t="s">
        <v>51</v>
      </c>
      <c r="D26" s="51">
        <v>13</v>
      </c>
      <c r="E26" s="233" t="s">
        <v>152</v>
      </c>
      <c r="F26" s="105" t="s">
        <v>154</v>
      </c>
      <c r="G26" s="106"/>
      <c r="H26" s="106"/>
      <c r="I26" s="107"/>
      <c r="J26" s="120" t="s">
        <v>155</v>
      </c>
      <c r="K26" s="121"/>
      <c r="L26" s="200" t="s">
        <v>156</v>
      </c>
      <c r="M26" s="201"/>
      <c r="N26" s="202"/>
      <c r="O26" s="209" t="s">
        <v>150</v>
      </c>
      <c r="P26" s="202"/>
      <c r="Q26" s="253"/>
      <c r="R26" s="254"/>
    </row>
    <row r="27" spans="1:18" ht="16.899999999999999" customHeight="1" x14ac:dyDescent="0.2">
      <c r="A27" s="65"/>
      <c r="B27" s="251"/>
      <c r="C27" s="30" t="s">
        <v>45</v>
      </c>
      <c r="D27" s="30">
        <v>14</v>
      </c>
      <c r="E27" s="234"/>
      <c r="F27" s="108"/>
      <c r="G27" s="109"/>
      <c r="H27" s="109"/>
      <c r="I27" s="110"/>
      <c r="J27" s="122"/>
      <c r="K27" s="123"/>
      <c r="L27" s="203"/>
      <c r="M27" s="204"/>
      <c r="N27" s="205"/>
      <c r="O27" s="218"/>
      <c r="P27" s="205"/>
      <c r="Q27" s="255"/>
      <c r="R27" s="256"/>
    </row>
    <row r="28" spans="1:18" ht="16.899999999999999" customHeight="1" x14ac:dyDescent="0.2">
      <c r="A28" s="65"/>
      <c r="B28" s="251"/>
      <c r="C28" s="30" t="s">
        <v>46</v>
      </c>
      <c r="D28" s="30">
        <v>15</v>
      </c>
      <c r="E28" s="234"/>
      <c r="F28" s="108"/>
      <c r="G28" s="109"/>
      <c r="H28" s="109"/>
      <c r="I28" s="110"/>
      <c r="J28" s="122"/>
      <c r="K28" s="123"/>
      <c r="L28" s="203"/>
      <c r="M28" s="204"/>
      <c r="N28" s="205"/>
      <c r="O28" s="218"/>
      <c r="P28" s="205"/>
      <c r="Q28" s="255"/>
      <c r="R28" s="256"/>
    </row>
    <row r="29" spans="1:18" ht="16.899999999999999" customHeight="1" x14ac:dyDescent="0.2">
      <c r="A29" s="65"/>
      <c r="B29" s="251"/>
      <c r="C29" s="30" t="s">
        <v>47</v>
      </c>
      <c r="D29" s="30">
        <v>16</v>
      </c>
      <c r="E29" s="234"/>
      <c r="F29" s="108"/>
      <c r="G29" s="109"/>
      <c r="H29" s="109"/>
      <c r="I29" s="110"/>
      <c r="J29" s="122"/>
      <c r="K29" s="123"/>
      <c r="L29" s="203"/>
      <c r="M29" s="204"/>
      <c r="N29" s="205"/>
      <c r="O29" s="218"/>
      <c r="P29" s="205"/>
      <c r="Q29" s="255"/>
      <c r="R29" s="256"/>
    </row>
    <row r="30" spans="1:18" ht="16.899999999999999" customHeight="1" x14ac:dyDescent="0.2">
      <c r="A30" s="65"/>
      <c r="B30" s="251"/>
      <c r="C30" s="30" t="s">
        <v>48</v>
      </c>
      <c r="D30" s="30">
        <v>17</v>
      </c>
      <c r="E30" s="234"/>
      <c r="F30" s="108"/>
      <c r="G30" s="109"/>
      <c r="H30" s="109"/>
      <c r="I30" s="110"/>
      <c r="J30" s="122"/>
      <c r="K30" s="123"/>
      <c r="L30" s="203"/>
      <c r="M30" s="204"/>
      <c r="N30" s="205"/>
      <c r="O30" s="218"/>
      <c r="P30" s="205"/>
      <c r="Q30" s="255"/>
      <c r="R30" s="256"/>
    </row>
    <row r="31" spans="1:18" ht="16.899999999999999" customHeight="1" x14ac:dyDescent="0.2">
      <c r="A31" s="65"/>
      <c r="B31" s="251"/>
      <c r="C31" s="30" t="s">
        <v>49</v>
      </c>
      <c r="D31" s="30">
        <v>18</v>
      </c>
      <c r="E31" s="234"/>
      <c r="F31" s="108"/>
      <c r="G31" s="109"/>
      <c r="H31" s="109"/>
      <c r="I31" s="110"/>
      <c r="J31" s="122"/>
      <c r="K31" s="123"/>
      <c r="L31" s="203"/>
      <c r="M31" s="204"/>
      <c r="N31" s="205"/>
      <c r="O31" s="218"/>
      <c r="P31" s="205"/>
      <c r="Q31" s="255"/>
      <c r="R31" s="256"/>
    </row>
    <row r="32" spans="1:18" ht="16.899999999999999" customHeight="1" thickBot="1" x14ac:dyDescent="0.25">
      <c r="A32" s="65"/>
      <c r="B32" s="252"/>
      <c r="C32" s="49" t="s">
        <v>50</v>
      </c>
      <c r="D32" s="49">
        <v>19</v>
      </c>
      <c r="E32" s="235"/>
      <c r="F32" s="111"/>
      <c r="G32" s="112"/>
      <c r="H32" s="112"/>
      <c r="I32" s="113"/>
      <c r="J32" s="124"/>
      <c r="K32" s="125"/>
      <c r="L32" s="206"/>
      <c r="M32" s="207"/>
      <c r="N32" s="208"/>
      <c r="O32" s="219"/>
      <c r="P32" s="208"/>
      <c r="Q32" s="257"/>
      <c r="R32" s="258"/>
    </row>
    <row r="33" spans="1:18" ht="16.899999999999999" customHeight="1" x14ac:dyDescent="0.2">
      <c r="A33" s="65"/>
      <c r="B33" s="247" t="s">
        <v>73</v>
      </c>
      <c r="C33" s="51" t="s">
        <v>51</v>
      </c>
      <c r="D33" s="51">
        <v>20</v>
      </c>
      <c r="E33" s="233" t="s">
        <v>157</v>
      </c>
      <c r="F33" s="105" t="s">
        <v>158</v>
      </c>
      <c r="G33" s="106"/>
      <c r="H33" s="106"/>
      <c r="I33" s="107"/>
      <c r="J33" s="120" t="s">
        <v>159</v>
      </c>
      <c r="K33" s="121"/>
      <c r="L33" s="200" t="s">
        <v>156</v>
      </c>
      <c r="M33" s="201"/>
      <c r="N33" s="202"/>
      <c r="O33" s="209" t="s">
        <v>160</v>
      </c>
      <c r="P33" s="202"/>
      <c r="Q33" s="209" t="s">
        <v>161</v>
      </c>
      <c r="R33" s="202"/>
    </row>
    <row r="34" spans="1:18" ht="16.899999999999999" customHeight="1" x14ac:dyDescent="0.2">
      <c r="A34" s="65"/>
      <c r="B34" s="248"/>
      <c r="C34" s="30" t="s">
        <v>45</v>
      </c>
      <c r="D34" s="30">
        <v>21</v>
      </c>
      <c r="E34" s="173"/>
      <c r="F34" s="108"/>
      <c r="G34" s="109"/>
      <c r="H34" s="109"/>
      <c r="I34" s="110"/>
      <c r="J34" s="122"/>
      <c r="K34" s="123"/>
      <c r="L34" s="203"/>
      <c r="M34" s="204"/>
      <c r="N34" s="205"/>
      <c r="O34" s="218"/>
      <c r="P34" s="205"/>
      <c r="Q34" s="218"/>
      <c r="R34" s="205"/>
    </row>
    <row r="35" spans="1:18" ht="16.899999999999999" customHeight="1" x14ac:dyDescent="0.2">
      <c r="A35" s="65"/>
      <c r="B35" s="248"/>
      <c r="C35" s="30" t="s">
        <v>46</v>
      </c>
      <c r="D35" s="30">
        <v>22</v>
      </c>
      <c r="E35" s="173"/>
      <c r="F35" s="108"/>
      <c r="G35" s="109"/>
      <c r="H35" s="109"/>
      <c r="I35" s="110"/>
      <c r="J35" s="122"/>
      <c r="K35" s="123"/>
      <c r="L35" s="203"/>
      <c r="M35" s="204"/>
      <c r="N35" s="205"/>
      <c r="O35" s="218"/>
      <c r="P35" s="205"/>
      <c r="Q35" s="218"/>
      <c r="R35" s="205"/>
    </row>
    <row r="36" spans="1:18" ht="16.899999999999999" customHeight="1" x14ac:dyDescent="0.2">
      <c r="A36" s="65"/>
      <c r="B36" s="248"/>
      <c r="C36" s="30" t="s">
        <v>47</v>
      </c>
      <c r="D36" s="30">
        <v>23</v>
      </c>
      <c r="E36" s="173"/>
      <c r="F36" s="108"/>
      <c r="G36" s="109"/>
      <c r="H36" s="109"/>
      <c r="I36" s="110"/>
      <c r="J36" s="122"/>
      <c r="K36" s="123"/>
      <c r="L36" s="203"/>
      <c r="M36" s="204"/>
      <c r="N36" s="205"/>
      <c r="O36" s="218"/>
      <c r="P36" s="205"/>
      <c r="Q36" s="218"/>
      <c r="R36" s="205"/>
    </row>
    <row r="37" spans="1:18" ht="16.899999999999999" customHeight="1" x14ac:dyDescent="0.2">
      <c r="A37" s="65"/>
      <c r="B37" s="248"/>
      <c r="C37" s="30" t="s">
        <v>48</v>
      </c>
      <c r="D37" s="30">
        <v>24</v>
      </c>
      <c r="E37" s="173"/>
      <c r="F37" s="108"/>
      <c r="G37" s="109"/>
      <c r="H37" s="109"/>
      <c r="I37" s="110"/>
      <c r="J37" s="122"/>
      <c r="K37" s="123"/>
      <c r="L37" s="203"/>
      <c r="M37" s="204"/>
      <c r="N37" s="205"/>
      <c r="O37" s="218"/>
      <c r="P37" s="205"/>
      <c r="Q37" s="218"/>
      <c r="R37" s="205"/>
    </row>
    <row r="38" spans="1:18" ht="16.899999999999999" customHeight="1" x14ac:dyDescent="0.2">
      <c r="A38" s="65"/>
      <c r="B38" s="248"/>
      <c r="C38" s="30" t="s">
        <v>49</v>
      </c>
      <c r="D38" s="30">
        <v>25</v>
      </c>
      <c r="E38" s="173"/>
      <c r="F38" s="108"/>
      <c r="G38" s="109"/>
      <c r="H38" s="109"/>
      <c r="I38" s="110"/>
      <c r="J38" s="122"/>
      <c r="K38" s="123"/>
      <c r="L38" s="203"/>
      <c r="M38" s="204"/>
      <c r="N38" s="205"/>
      <c r="O38" s="218"/>
      <c r="P38" s="205"/>
      <c r="Q38" s="218"/>
      <c r="R38" s="205"/>
    </row>
    <row r="39" spans="1:18" ht="16.899999999999999" customHeight="1" thickBot="1" x14ac:dyDescent="0.25">
      <c r="A39" s="65"/>
      <c r="B39" s="249"/>
      <c r="C39" s="49" t="s">
        <v>50</v>
      </c>
      <c r="D39" s="49">
        <v>26</v>
      </c>
      <c r="E39" s="174"/>
      <c r="F39" s="111"/>
      <c r="G39" s="112"/>
      <c r="H39" s="112"/>
      <c r="I39" s="113"/>
      <c r="J39" s="124"/>
      <c r="K39" s="125"/>
      <c r="L39" s="206"/>
      <c r="M39" s="207"/>
      <c r="N39" s="208"/>
      <c r="O39" s="219"/>
      <c r="P39" s="208"/>
      <c r="Q39" s="219"/>
      <c r="R39" s="208"/>
    </row>
    <row r="40" spans="1:18" ht="16.899999999999999" customHeight="1" x14ac:dyDescent="0.2">
      <c r="A40" s="65"/>
      <c r="B40" s="250" t="s">
        <v>77</v>
      </c>
      <c r="C40" s="51" t="s">
        <v>51</v>
      </c>
      <c r="D40" s="51">
        <v>27</v>
      </c>
      <c r="E40" s="233" t="s">
        <v>162</v>
      </c>
      <c r="F40" s="105" t="s">
        <v>163</v>
      </c>
      <c r="G40" s="106"/>
      <c r="H40" s="106"/>
      <c r="I40" s="107"/>
      <c r="J40" s="120" t="s">
        <v>159</v>
      </c>
      <c r="K40" s="121"/>
      <c r="L40" s="200" t="s">
        <v>164</v>
      </c>
      <c r="M40" s="201"/>
      <c r="N40" s="202"/>
      <c r="O40" s="209" t="s">
        <v>165</v>
      </c>
      <c r="P40" s="202"/>
      <c r="Q40" s="209" t="s">
        <v>166</v>
      </c>
      <c r="R40" s="202"/>
    </row>
    <row r="41" spans="1:18" ht="16.899999999999999" customHeight="1" x14ac:dyDescent="0.2">
      <c r="A41" s="65"/>
      <c r="B41" s="251"/>
      <c r="C41" s="30" t="s">
        <v>45</v>
      </c>
      <c r="D41" s="30">
        <v>28</v>
      </c>
      <c r="E41" s="234"/>
      <c r="F41" s="108"/>
      <c r="G41" s="109"/>
      <c r="H41" s="109"/>
      <c r="I41" s="110"/>
      <c r="J41" s="122"/>
      <c r="K41" s="123"/>
      <c r="L41" s="203"/>
      <c r="M41" s="204"/>
      <c r="N41" s="205"/>
      <c r="O41" s="218"/>
      <c r="P41" s="205"/>
      <c r="Q41" s="218"/>
      <c r="R41" s="205"/>
    </row>
    <row r="42" spans="1:18" ht="16.899999999999999" customHeight="1" x14ac:dyDescent="0.2">
      <c r="A42" s="65"/>
      <c r="B42" s="251"/>
      <c r="C42" s="30" t="s">
        <v>46</v>
      </c>
      <c r="D42" s="31">
        <v>29</v>
      </c>
      <c r="E42" s="234"/>
      <c r="F42" s="108"/>
      <c r="G42" s="109"/>
      <c r="H42" s="109"/>
      <c r="I42" s="110"/>
      <c r="J42" s="122"/>
      <c r="K42" s="123"/>
      <c r="L42" s="203"/>
      <c r="M42" s="204"/>
      <c r="N42" s="205"/>
      <c r="O42" s="218"/>
      <c r="P42" s="205"/>
      <c r="Q42" s="218"/>
      <c r="R42" s="205"/>
    </row>
    <row r="43" spans="1:18" ht="16.899999999999999" customHeight="1" x14ac:dyDescent="0.2">
      <c r="A43" s="65"/>
      <c r="B43" s="251"/>
      <c r="C43" s="30" t="s">
        <v>47</v>
      </c>
      <c r="D43" s="31">
        <v>30</v>
      </c>
      <c r="E43" s="234"/>
      <c r="F43" s="108"/>
      <c r="G43" s="109"/>
      <c r="H43" s="109"/>
      <c r="I43" s="110"/>
      <c r="J43" s="122"/>
      <c r="K43" s="123"/>
      <c r="L43" s="203"/>
      <c r="M43" s="204"/>
      <c r="N43" s="205"/>
      <c r="O43" s="218"/>
      <c r="P43" s="205"/>
      <c r="Q43" s="218"/>
      <c r="R43" s="205"/>
    </row>
    <row r="44" spans="1:18" ht="16.899999999999999" customHeight="1" thickBot="1" x14ac:dyDescent="0.25">
      <c r="A44" s="65"/>
      <c r="B44" s="252"/>
      <c r="C44" s="59"/>
      <c r="D44" s="59"/>
      <c r="E44" s="235"/>
      <c r="F44" s="111"/>
      <c r="G44" s="112"/>
      <c r="H44" s="112"/>
      <c r="I44" s="113"/>
      <c r="J44" s="124"/>
      <c r="K44" s="125"/>
      <c r="L44" s="206"/>
      <c r="M44" s="207"/>
      <c r="N44" s="208"/>
      <c r="O44" s="219"/>
      <c r="P44" s="208"/>
      <c r="Q44" s="219"/>
      <c r="R44" s="208"/>
    </row>
    <row r="45" spans="1:18" ht="16.5" customHeight="1" x14ac:dyDescent="0.2">
      <c r="A45" s="37"/>
      <c r="B45" s="52"/>
      <c r="E45" s="8"/>
    </row>
    <row r="46" spans="1:18" ht="16.5" customHeight="1" x14ac:dyDescent="0.2">
      <c r="A46" s="37"/>
      <c r="B46" s="52"/>
    </row>
  </sheetData>
  <sheetProtection formatCells="0" formatColumns="0" formatRows="0"/>
  <mergeCells count="53">
    <mergeCell ref="L40:N44"/>
    <mergeCell ref="L33:N39"/>
    <mergeCell ref="O40:P44"/>
    <mergeCell ref="O33:P39"/>
    <mergeCell ref="Q40:R44"/>
    <mergeCell ref="Q33:R39"/>
    <mergeCell ref="L12:R12"/>
    <mergeCell ref="J13:K13"/>
    <mergeCell ref="L26:N32"/>
    <mergeCell ref="L19:N25"/>
    <mergeCell ref="O26:P32"/>
    <mergeCell ref="O19:P25"/>
    <mergeCell ref="Q26:R32"/>
    <mergeCell ref="Q19:R25"/>
    <mergeCell ref="L14:N18"/>
    <mergeCell ref="O14:P18"/>
    <mergeCell ref="Q14:R18"/>
    <mergeCell ref="O13:P13"/>
    <mergeCell ref="Q13:R13"/>
    <mergeCell ref="E14:E18"/>
    <mergeCell ref="J14:K18"/>
    <mergeCell ref="D3:D11"/>
    <mergeCell ref="M3:R3"/>
    <mergeCell ref="F13:I13"/>
    <mergeCell ref="K2:K3"/>
    <mergeCell ref="F14:I18"/>
    <mergeCell ref="F11:J11"/>
    <mergeCell ref="M4:R4"/>
    <mergeCell ref="M5:R5"/>
    <mergeCell ref="M6:R6"/>
    <mergeCell ref="M7:R7"/>
    <mergeCell ref="M8:R8"/>
    <mergeCell ref="M9:R9"/>
    <mergeCell ref="M10:R10"/>
    <mergeCell ref="L13:N13"/>
    <mergeCell ref="B33:B39"/>
    <mergeCell ref="B40:B44"/>
    <mergeCell ref="A2:B13"/>
    <mergeCell ref="B14:B18"/>
    <mergeCell ref="B19:B25"/>
    <mergeCell ref="B26:B32"/>
    <mergeCell ref="E19:E25"/>
    <mergeCell ref="J19:K25"/>
    <mergeCell ref="E26:E32"/>
    <mergeCell ref="F26:I32"/>
    <mergeCell ref="J26:K32"/>
    <mergeCell ref="F19:I25"/>
    <mergeCell ref="E33:E39"/>
    <mergeCell ref="E40:E44"/>
    <mergeCell ref="F33:I39"/>
    <mergeCell ref="J33:K39"/>
    <mergeCell ref="F40:I44"/>
    <mergeCell ref="J40:K44"/>
  </mergeCells>
  <conditionalFormatting sqref="C14:D44">
    <cfRule type="cellIs" dxfId="10" priority="15" operator="equal">
      <formula>$K$4</formula>
    </cfRule>
    <cfRule type="cellIs" dxfId="9" priority="16" operator="equal">
      <formula>$J$4</formula>
    </cfRule>
  </conditionalFormatting>
  <conditionalFormatting sqref="C14:F14 C15:D18 C19:E19 C20:D39 C40:F40 C41:D44 J14 E26 E33:F33 J40">
    <cfRule type="expression" dxfId="8" priority="17">
      <formula>#REF!="S"</formula>
    </cfRule>
  </conditionalFormatting>
  <conditionalFormatting sqref="C14:F14 J14 C15:D18 C19:E19 C20:D39 E26 E33:F33 C40:F40 J40 C41:D44">
    <cfRule type="expression" dxfId="7" priority="1" stopIfTrue="1">
      <formula>#REF!="D"</formula>
    </cfRule>
  </conditionalFormatting>
  <conditionalFormatting sqref="D14:D44">
    <cfRule type="expression" dxfId="6" priority="13">
      <formula>$C14=$K$4</formula>
    </cfRule>
    <cfRule type="expression" dxfId="5" priority="14">
      <formula>$C14=$J$4</formula>
    </cfRule>
  </conditionalFormatting>
  <conditionalFormatting sqref="E5:J5">
    <cfRule type="expression" dxfId="4" priority="21" stopIfTrue="1">
      <formula>DAY(E5)&gt;8</formula>
    </cfRule>
  </conditionalFormatting>
  <conditionalFormatting sqref="E5:K10">
    <cfRule type="cellIs" dxfId="3" priority="22" operator="equal">
      <formula>$D$2</formula>
    </cfRule>
  </conditionalFormatting>
  <conditionalFormatting sqref="E9:K10 E11 K11">
    <cfRule type="expression" dxfId="2" priority="20" stopIfTrue="1">
      <formula>AND(DAY(E9)&gt;=1,DAY(E9)&lt;=15)</formula>
    </cfRule>
  </conditionalFormatting>
  <conditionalFormatting sqref="F19 J19 F26 J26 J33">
    <cfRule type="expression" dxfId="1" priority="51">
      <formula>#REF!="S"</formula>
    </cfRule>
    <cfRule type="expression" dxfId="0" priority="53" stopIfTrue="1">
      <formula>#REF!="D"</formula>
    </cfRule>
  </conditionalFormatting>
  <printOptions horizontalCentered="1" verticalCentered="1"/>
  <pageMargins left="0.5" right="0.5" top="0.5" bottom="0.5" header="0.3" footer="0.3"/>
  <pageSetup paperSize="9" scale="91" orientation="landscape" r:id="rId1"/>
  <ignoredErrors>
    <ignoredError sqref="F3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B59F4C6-0242-4391-9E5C-DCCC78ECB6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14</vt:i4>
      </vt:variant>
    </vt:vector>
  </HeadingPairs>
  <TitlesOfParts>
    <vt:vector size="19" baseType="lpstr">
      <vt:lpstr>INTRO</vt:lpstr>
      <vt:lpstr>JAN</vt:lpstr>
      <vt:lpstr>FEV</vt:lpstr>
      <vt:lpstr>MAR</vt:lpstr>
      <vt:lpstr>ABR</vt:lpstr>
      <vt:lpstr>INTRO!AnoCalendário</vt:lpstr>
      <vt:lpstr>AnoCalendário</vt:lpstr>
      <vt:lpstr>ABR!Área_de_Impressão</vt:lpstr>
      <vt:lpstr>FEV!Área_de_Impressão</vt:lpstr>
      <vt:lpstr>JAN!Área_de_Impressão</vt:lpstr>
      <vt:lpstr>MAR!Área_de_Impressão</vt:lpstr>
      <vt:lpstr>ABR!DiasdeAtribuições</vt:lpstr>
      <vt:lpstr>FEV!DiasdeAtribuições</vt:lpstr>
      <vt:lpstr>MAR!DiasdeAtribuições</vt:lpstr>
      <vt:lpstr>DiasdeAtribuições</vt:lpstr>
      <vt:lpstr>ABR!TabeladeDatasImportantes</vt:lpstr>
      <vt:lpstr>FEV!TabeladeDatasImportantes</vt:lpstr>
      <vt:lpstr>MAR!TabeladeDatasImportantes</vt:lpstr>
      <vt:lpstr>TabeladeDatasImportantes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2017-03-26T20:41:40Z</dcterms:created>
  <dcterms:modified xsi:type="dcterms:W3CDTF">2025-04-04T19:17:43Z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TC031076639991</vt:lpwstr>
  </property>
</Properties>
</file>